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105" windowWidth="11355" windowHeight="7620"/>
  </bookViews>
  <sheets>
    <sheet name="BHresumido" sheetId="7" r:id="rId1"/>
    <sheet name="Sim1" sheetId="26" r:id="rId2"/>
    <sheet name="PMS" sheetId="6" r:id="rId3"/>
    <sheet name="ExBH" sheetId="15" state="hidden" r:id="rId4"/>
    <sheet name="DD" sheetId="22" state="hidden" r:id="rId5"/>
    <sheet name="EE" sheetId="23" state="hidden" r:id="rId6"/>
    <sheet name="FF" sheetId="24" state="hidden" r:id="rId7"/>
    <sheet name="GG" sheetId="25" state="hidden" r:id="rId8"/>
  </sheets>
  <externalReferences>
    <externalReference r:id="rId9"/>
  </externalReferences>
  <definedNames>
    <definedName name="List_Confidence_Grades">[1]Lists!$A$3:$A$16</definedName>
  </definedNames>
  <calcPr calcId="145621"/>
</workbook>
</file>

<file path=xl/calcChain.xml><?xml version="1.0" encoding="utf-8"?>
<calcChain xmlns="http://schemas.openxmlformats.org/spreadsheetml/2006/main">
  <c r="E15" i="26" l="1"/>
  <c r="C20" i="26" l="1"/>
  <c r="A10" i="26" s="1"/>
  <c r="E23" i="26"/>
  <c r="E30" i="26"/>
  <c r="E17" i="26"/>
  <c r="E13" i="26"/>
  <c r="C12" i="26"/>
  <c r="E11" i="26"/>
  <c r="E12" i="26" s="1"/>
  <c r="E9" i="26"/>
  <c r="J8" i="26"/>
  <c r="E7" i="26"/>
  <c r="E8" i="26" s="1"/>
  <c r="C11" i="26" s="1"/>
  <c r="H26" i="7"/>
  <c r="H24" i="7"/>
  <c r="H22" i="7"/>
  <c r="E15" i="7"/>
  <c r="I13" i="26" l="1"/>
  <c r="A11" i="26"/>
  <c r="A12" i="26"/>
  <c r="C23" i="26" s="1"/>
  <c r="I11" i="26"/>
  <c r="A13" i="26"/>
  <c r="J14" i="26"/>
  <c r="J20" i="26" s="1"/>
  <c r="D5" i="26"/>
  <c r="C10" i="26"/>
  <c r="J15" i="26" l="1"/>
  <c r="J16" i="26"/>
  <c r="J17" i="26"/>
  <c r="C13" i="26"/>
  <c r="E16" i="26"/>
  <c r="G19" i="26" l="1"/>
  <c r="C24" i="26"/>
  <c r="C22" i="26"/>
  <c r="H24" i="26"/>
  <c r="H26" i="26"/>
  <c r="H22" i="26"/>
  <c r="E26" i="26"/>
  <c r="E31" i="26"/>
  <c r="E25" i="26"/>
  <c r="E30" i="25" l="1"/>
  <c r="E18" i="25"/>
  <c r="E17" i="25"/>
  <c r="I13" i="25"/>
  <c r="A13" i="25"/>
  <c r="A12" i="25"/>
  <c r="I11" i="25"/>
  <c r="E11" i="25"/>
  <c r="E13" i="25" s="1"/>
  <c r="A11" i="25"/>
  <c r="E7" i="25"/>
  <c r="J8" i="25" s="1"/>
  <c r="J14" i="25" s="1"/>
  <c r="E30" i="24"/>
  <c r="E18" i="24"/>
  <c r="E17" i="24"/>
  <c r="I13" i="24"/>
  <c r="A13" i="24"/>
  <c r="A12" i="24"/>
  <c r="I11" i="24"/>
  <c r="E11" i="24"/>
  <c r="E12" i="24" s="1"/>
  <c r="A11" i="24"/>
  <c r="E9" i="24"/>
  <c r="J8" i="24"/>
  <c r="J14" i="24" s="1"/>
  <c r="E7" i="24"/>
  <c r="E8" i="24" s="1"/>
  <c r="E30" i="23"/>
  <c r="E18" i="23"/>
  <c r="E17" i="23"/>
  <c r="I13" i="23"/>
  <c r="A13" i="23"/>
  <c r="A12" i="23"/>
  <c r="I11" i="23"/>
  <c r="E11" i="23"/>
  <c r="E12" i="23" s="1"/>
  <c r="A11" i="23"/>
  <c r="E7" i="23"/>
  <c r="E8" i="23" s="1"/>
  <c r="E30" i="22"/>
  <c r="E18" i="22"/>
  <c r="E17" i="22"/>
  <c r="I13" i="22"/>
  <c r="A13" i="22"/>
  <c r="A12" i="22"/>
  <c r="I11" i="22"/>
  <c r="E11" i="22"/>
  <c r="E13" i="22" s="1"/>
  <c r="A11" i="22"/>
  <c r="E7" i="22"/>
  <c r="J8" i="22" s="1"/>
  <c r="J14" i="22" s="1"/>
  <c r="E30" i="7"/>
  <c r="E18" i="7"/>
  <c r="E17" i="7"/>
  <c r="I13" i="7"/>
  <c r="A13" i="7"/>
  <c r="A12" i="7"/>
  <c r="I11" i="7"/>
  <c r="E11" i="7"/>
  <c r="E12" i="7" s="1"/>
  <c r="A11" i="7"/>
  <c r="E7" i="7"/>
  <c r="E8" i="7" s="1"/>
  <c r="J8" i="7" l="1"/>
  <c r="J14" i="7" s="1"/>
  <c r="E9" i="25"/>
  <c r="C12" i="25" s="1"/>
  <c r="C11" i="24"/>
  <c r="E13" i="24"/>
  <c r="C12" i="24"/>
  <c r="C23" i="24" s="1"/>
  <c r="E13" i="23"/>
  <c r="C11" i="23"/>
  <c r="J8" i="23"/>
  <c r="J14" i="23" s="1"/>
  <c r="J17" i="23" s="1"/>
  <c r="E9" i="23"/>
  <c r="E9" i="22"/>
  <c r="E8" i="22"/>
  <c r="C10" i="7"/>
  <c r="E16" i="7" s="1"/>
  <c r="E13" i="7"/>
  <c r="E9" i="7"/>
  <c r="C11" i="7"/>
  <c r="J16" i="25"/>
  <c r="J20" i="25"/>
  <c r="J17" i="25"/>
  <c r="J15" i="25"/>
  <c r="C10" i="25"/>
  <c r="E8" i="25"/>
  <c r="E12" i="25"/>
  <c r="J20" i="24"/>
  <c r="J17" i="24"/>
  <c r="J15" i="24"/>
  <c r="J16" i="24"/>
  <c r="C10" i="24"/>
  <c r="J20" i="23"/>
  <c r="C10" i="23"/>
  <c r="J16" i="22"/>
  <c r="J20" i="22"/>
  <c r="J17" i="22"/>
  <c r="J15" i="22"/>
  <c r="C12" i="22"/>
  <c r="C10" i="22"/>
  <c r="E12" i="22"/>
  <c r="C11" i="22" s="1"/>
  <c r="J20" i="7"/>
  <c r="J17" i="7"/>
  <c r="J15" i="7"/>
  <c r="J16" i="7"/>
  <c r="C12" i="7" l="1"/>
  <c r="C23" i="7" s="1"/>
  <c r="D5" i="24"/>
  <c r="C12" i="23"/>
  <c r="J16" i="23"/>
  <c r="J15" i="23"/>
  <c r="C20" i="7"/>
  <c r="C22" i="7" s="1"/>
  <c r="E23" i="7"/>
  <c r="E24" i="7" s="1"/>
  <c r="C13" i="7"/>
  <c r="D5" i="7"/>
  <c r="C23" i="25"/>
  <c r="D5" i="25"/>
  <c r="C11" i="25"/>
  <c r="E16" i="25"/>
  <c r="E23" i="25"/>
  <c r="C13" i="25"/>
  <c r="C20" i="25"/>
  <c r="E16" i="24"/>
  <c r="C13" i="24"/>
  <c r="E23" i="24"/>
  <c r="C20" i="24"/>
  <c r="E16" i="23"/>
  <c r="C13" i="23"/>
  <c r="E23" i="23"/>
  <c r="C20" i="23"/>
  <c r="E16" i="22"/>
  <c r="C13" i="22"/>
  <c r="E23" i="22"/>
  <c r="C20" i="22"/>
  <c r="C23" i="22"/>
  <c r="D5" i="22"/>
  <c r="E31" i="7" l="1"/>
  <c r="G19" i="7"/>
  <c r="D5" i="23"/>
  <c r="C23" i="23"/>
  <c r="C24" i="7"/>
  <c r="E25" i="7"/>
  <c r="E26" i="7"/>
  <c r="E31" i="25"/>
  <c r="E24" i="25"/>
  <c r="E26" i="25"/>
  <c r="E25" i="25"/>
  <c r="C22" i="25"/>
  <c r="C24" i="25"/>
  <c r="G19" i="25"/>
  <c r="C22" i="24"/>
  <c r="C24" i="24"/>
  <c r="G19" i="24"/>
  <c r="E31" i="24"/>
  <c r="E24" i="24"/>
  <c r="E26" i="24"/>
  <c r="E25" i="24"/>
  <c r="C22" i="23"/>
  <c r="C24" i="23"/>
  <c r="G19" i="23"/>
  <c r="E31" i="23"/>
  <c r="E24" i="23"/>
  <c r="E26" i="23"/>
  <c r="E25" i="23"/>
  <c r="C22" i="22"/>
  <c r="G19" i="22"/>
  <c r="C24" i="22"/>
  <c r="E31" i="22"/>
  <c r="E24" i="22"/>
  <c r="E26" i="22"/>
  <c r="E25" i="22"/>
  <c r="B9" i="6" l="1"/>
  <c r="D4" i="6" s="1"/>
</calcChain>
</file>

<file path=xl/comments1.xml><?xml version="1.0" encoding="utf-8"?>
<comments xmlns="http://schemas.openxmlformats.org/spreadsheetml/2006/main">
  <authors>
    <author>Airton Gomes</author>
  </authors>
  <commentList>
    <comment ref="E18" authorId="0">
      <text>
        <r>
          <rPr>
            <b/>
            <sz val="12"/>
            <color indexed="81"/>
            <rFont val="Tahoma"/>
            <family val="2"/>
          </rPr>
          <t>Airton Gomes:</t>
        </r>
        <r>
          <rPr>
            <sz val="12"/>
            <color indexed="81"/>
            <rFont val="Tahoma"/>
            <family val="2"/>
          </rPr>
          <t xml:space="preserve">
Entrada de dados
</t>
        </r>
      </text>
    </comment>
    <comment ref="E24" authorId="0">
      <text>
        <r>
          <rPr>
            <b/>
            <sz val="12"/>
            <color indexed="81"/>
            <rFont val="Tahoma"/>
            <family val="2"/>
          </rPr>
          <t>Airton Gomes:</t>
        </r>
        <r>
          <rPr>
            <sz val="12"/>
            <color indexed="81"/>
            <rFont val="Tahoma"/>
            <family val="2"/>
          </rPr>
          <t xml:space="preserve">
entrada de dados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<sst xmlns="http://schemas.openxmlformats.org/spreadsheetml/2006/main" count="562" uniqueCount="92">
  <si>
    <t>m³/ano</t>
  </si>
  <si>
    <t>No. de ligações reais</t>
  </si>
  <si>
    <r>
      <t>PMS</t>
    </r>
    <r>
      <rPr>
        <vertAlign val="subscript"/>
        <sz val="10"/>
        <rFont val="Arial"/>
        <family val="2"/>
      </rPr>
      <t>final</t>
    </r>
  </si>
  <si>
    <t>total</t>
  </si>
  <si>
    <t>SISTEMA:</t>
  </si>
  <si>
    <t>População abastecida:</t>
  </si>
  <si>
    <t>Número de ligações reais de água:</t>
  </si>
  <si>
    <t>Consumo per capita efetivo (total entregue)
(L/hab/dia)</t>
  </si>
  <si>
    <t xml:space="preserve">           Tempo médio de abastecimento (horas / dia):</t>
  </si>
  <si>
    <t>Volume de Entrada Anual</t>
  </si>
  <si>
    <t>CONSUMO AUTORIZADO</t>
  </si>
  <si>
    <t>Consumo Autorizado Faturado</t>
  </si>
  <si>
    <t>Consumo Micromedido</t>
  </si>
  <si>
    <t>Origem:</t>
  </si>
  <si>
    <t>Volume de Água Faturada</t>
  </si>
  <si>
    <t>BH completo</t>
  </si>
  <si>
    <t>L/lig/dia</t>
  </si>
  <si>
    <t>Consumo Não Medido (estimado)</t>
  </si>
  <si>
    <t>L/hab/dia</t>
  </si>
  <si>
    <t>Consumo Autorizado Não Faturado</t>
  </si>
  <si>
    <t>% do VE:</t>
  </si>
  <si>
    <t>Volume de Água Não Faturada</t>
  </si>
  <si>
    <t>(Perdas de</t>
  </si>
  <si>
    <t>Faturamento)</t>
  </si>
  <si>
    <t>L/s</t>
  </si>
  <si>
    <t>Volume de Perdas de Água</t>
  </si>
  <si>
    <t>TOTAL DE PERDAS APARENTES</t>
  </si>
  <si>
    <t>Submedição</t>
  </si>
  <si>
    <t>% do VE</t>
  </si>
  <si>
    <t>% do Consumo Autorizado</t>
  </si>
  <si>
    <t>Fraudes</t>
  </si>
  <si>
    <t>Clandestinos</t>
  </si>
  <si>
    <t>TOTAL DE PERDAS REAIS</t>
  </si>
  <si>
    <t>Vaz em ramais</t>
  </si>
  <si>
    <t>% da PR</t>
  </si>
  <si>
    <t xml:space="preserve">m³/ano    </t>
  </si>
  <si>
    <t>Vaz em redes</t>
  </si>
  <si>
    <t>QSP</t>
  </si>
  <si>
    <t>M³/km rede.hora</t>
  </si>
  <si>
    <t>Vaz em reservatórios</t>
  </si>
  <si>
    <t>QSP = Quando o sistema está pressurizado</t>
  </si>
  <si>
    <t>Ext. Rede (km)</t>
  </si>
  <si>
    <t>OBSERVAÇÕES:</t>
  </si>
  <si>
    <t>Perdas aparentes referem-se a basicamente à submedição de consumos, falhas de cadastro e fraudes nas ligações e hidrômetros.</t>
  </si>
  <si>
    <t>Nesta abordagem de balanço hídrico, perdas reais correspondem a vazamentos em reservatórios, redes e ramais nos sistemas distribuidores.</t>
  </si>
  <si>
    <t>Do balanço hídrico completo, transpor os dados para esta planilha</t>
  </si>
  <si>
    <t>Usos Sociais</t>
  </si>
  <si>
    <t>% do Vol Cons</t>
  </si>
  <si>
    <t>CODMUNIC</t>
  </si>
  <si>
    <t>Nome do município</t>
  </si>
  <si>
    <t>Volume de entrada anual (m³/ano)</t>
  </si>
  <si>
    <t>Volume de consumo autorizado (m³/ano)</t>
  </si>
  <si>
    <t>Tempo médio de abastecimento (horas/dia)</t>
  </si>
  <si>
    <t>Pressão Média mca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</si>
  <si>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</si>
  <si>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</si>
  <si>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</si>
  <si>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</si>
  <si>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</si>
  <si>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</si>
  <si>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</si>
  <si>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</si>
  <si>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</si>
  <si>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</si>
  <si>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</si>
  <si>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</si>
  <si>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</si>
  <si>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</si>
  <si>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Consumo micromedido (m³/ano)</t>
  </si>
  <si>
    <t>Usos sociais (m³/ano)</t>
  </si>
  <si>
    <t>Usos próprios (m³/ano)</t>
  </si>
  <si>
    <t>PA=%.PT</t>
  </si>
  <si>
    <t>Extensão da rede de água [km]</t>
  </si>
  <si>
    <t>Quantidade de ligações totais de água [ligação]</t>
  </si>
  <si>
    <t>População urbana atendida com abastecimento de água [habitante]</t>
  </si>
  <si>
    <t>Tarifa média de água [R$/m³]</t>
  </si>
  <si>
    <r>
      <t>CALCULADORA DE BALANÇOS HÍDRICOS - PARA SER USADA EM SIMULAÇÕES RÁPIDAS</t>
    </r>
    <r>
      <rPr>
        <b/>
        <sz val="14"/>
        <rFont val="Arial"/>
        <family val="2"/>
      </rPr>
      <t xml:space="preserve">
</t>
    </r>
    <r>
      <rPr>
        <b/>
        <sz val="14"/>
        <color indexed="9"/>
        <rFont val="Arial"/>
        <family val="2"/>
      </rPr>
      <t>Estimativa de perdas aparentes para obtenção de perdas reais</t>
    </r>
    <r>
      <rPr>
        <b/>
        <sz val="14"/>
        <color indexed="41"/>
        <rFont val="Arial"/>
        <family val="2"/>
      </rPr>
      <t xml:space="preserve">
</t>
    </r>
    <r>
      <rPr>
        <b/>
        <sz val="14"/>
        <color indexed="9"/>
        <rFont val="Arial"/>
        <family val="2"/>
      </rPr>
      <t xml:space="preserve">somente </t>
    </r>
    <r>
      <rPr>
        <b/>
        <i/>
        <sz val="12"/>
        <color indexed="9"/>
        <rFont val="Arial"/>
        <family val="2"/>
      </rPr>
      <t xml:space="preserve">números em </t>
    </r>
    <r>
      <rPr>
        <b/>
        <i/>
        <sz val="12"/>
        <color indexed="10"/>
        <rFont val="Arial"/>
        <family val="2"/>
      </rPr>
      <t>vermelho</t>
    </r>
    <r>
      <rPr>
        <b/>
        <i/>
        <sz val="12"/>
        <color indexed="9"/>
        <rFont val="Arial"/>
        <family val="2"/>
      </rPr>
      <t xml:space="preserve"> correspondem a dados de entrada</t>
    </r>
  </si>
  <si>
    <r>
      <t>P</t>
    </r>
    <r>
      <rPr>
        <vertAlign val="subscript"/>
        <sz val="10"/>
        <rFont val="Arial"/>
        <family val="2"/>
      </rPr>
      <t>média</t>
    </r>
  </si>
  <si>
    <t>PONDERAÇÃO DE PRESSÃO MÉDIA - EXEMPLO</t>
  </si>
  <si>
    <t>SETOR</t>
  </si>
  <si>
    <t>Usos Próprios</t>
  </si>
  <si>
    <t>% de PA em relação ao total:</t>
  </si>
  <si>
    <t>INDICADORES DE DESEMPENHO</t>
  </si>
  <si>
    <t>PRESSÃO MÉDIA DO SISTEMA - PMS (mca):</t>
  </si>
  <si>
    <t>PRAI - PERDAS REAIS ANUAIS INEVITÁVEIS (m³/ano):</t>
  </si>
  <si>
    <t>IVI - ÍNDICE DE VAZAMENTO NA INFRAESTRUTURA:</t>
  </si>
  <si>
    <t>A quantidade de ligações reais de água inclui todos os ramais efetivamente pressurizados</t>
  </si>
  <si>
    <t>CC1</t>
  </si>
  <si>
    <t>CC2</t>
  </si>
  <si>
    <t>CC3</t>
  </si>
  <si>
    <t>CC4</t>
  </si>
  <si>
    <t>Fraudes y clandestinos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</si>
</sst>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0.000%"/>
    <numFmt numFmtId="167" formatCode="#,##0.0000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9"/>
      <name val="Arial"/>
      <family val="2"/>
    </font>
    <font>
      <b/>
      <sz val="14"/>
      <color indexed="41"/>
      <name val="Arial"/>
      <family val="2"/>
    </font>
    <font>
      <b/>
      <i/>
      <sz val="12"/>
      <color indexed="9"/>
      <name val="Arial"/>
      <family val="2"/>
    </font>
    <font>
      <b/>
      <i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theme="3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2" borderId="9" xfId="0" applyFill="1" applyBorder="1"/>
    <xf numFmtId="0" fontId="4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24" xfId="0" applyFill="1" applyBorder="1"/>
    <xf numFmtId="164" fontId="0" fillId="2" borderId="8" xfId="0" applyNumberFormat="1" applyFill="1" applyBorder="1"/>
    <xf numFmtId="3" fontId="4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19" fillId="2" borderId="22" xfId="0" applyFont="1" applyFill="1" applyBorder="1" applyAlignment="1">
      <alignment horizontal="justify" vertical="center" wrapText="1"/>
    </xf>
    <xf numFmtId="0" fontId="19" fillId="2" borderId="29" xfId="0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 wrapText="1"/>
    </xf>
    <xf numFmtId="0" fontId="19" fillId="2" borderId="21" xfId="0" applyFont="1" applyFill="1" applyBorder="1" applyAlignment="1">
      <alignment horizontal="center" vertical="center" wrapText="1"/>
    </xf>
    <xf numFmtId="10" fontId="0" fillId="2" borderId="16" xfId="0" applyNumberForma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vertical="center" wrapText="1"/>
    </xf>
    <xf numFmtId="4" fontId="4" fillId="2" borderId="19" xfId="0" applyNumberFormat="1" applyFont="1" applyFill="1" applyBorder="1" applyAlignment="1">
      <alignment vertical="center" wrapText="1"/>
    </xf>
    <xf numFmtId="10" fontId="9" fillId="2" borderId="14" xfId="0" applyNumberFormat="1" applyFont="1" applyFill="1" applyBorder="1" applyAlignment="1">
      <alignment vertical="center" wrapText="1"/>
    </xf>
    <xf numFmtId="10" fontId="9" fillId="2" borderId="15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166" fontId="0" fillId="2" borderId="0" xfId="0" applyNumberFormat="1" applyFill="1"/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7" fontId="0" fillId="2" borderId="0" xfId="0" applyNumberFormat="1" applyFill="1"/>
    <xf numFmtId="167" fontId="1" fillId="2" borderId="0" xfId="0" applyNumberFormat="1" applyFont="1" applyFill="1"/>
    <xf numFmtId="0" fontId="0" fillId="7" borderId="0" xfId="0" applyFill="1"/>
    <xf numFmtId="0" fontId="0" fillId="0" borderId="0" xfId="0" applyAlignment="1">
      <alignment vertical="center" wrapText="1"/>
    </xf>
    <xf numFmtId="0" fontId="28" fillId="0" borderId="0" xfId="0" applyFont="1"/>
    <xf numFmtId="0" fontId="25" fillId="8" borderId="1" xfId="0" applyNumberFormat="1" applyFont="1" applyFill="1" applyBorder="1" applyAlignment="1" applyProtection="1">
      <alignment horizontal="left" vertical="center" wrapText="1"/>
    </xf>
    <xf numFmtId="0" fontId="26" fillId="8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0" applyNumberFormat="1" applyFont="1" applyFill="1" applyBorder="1" applyAlignment="1" applyProtection="1">
      <alignment horizontal="center" vertical="top"/>
    </xf>
    <xf numFmtId="3" fontId="26" fillId="0" borderId="1" xfId="0" applyNumberFormat="1" applyFont="1" applyFill="1" applyBorder="1" applyAlignment="1" applyProtection="1">
      <alignment horizontal="center" vertical="top"/>
    </xf>
    <xf numFmtId="2" fontId="26" fillId="0" borderId="1" xfId="0" applyNumberFormat="1" applyFont="1" applyFill="1" applyBorder="1" applyAlignment="1" applyProtection="1">
      <alignment horizontal="center" vertical="top"/>
    </xf>
    <xf numFmtId="0" fontId="27" fillId="0" borderId="1" xfId="0" applyFont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 vertical="top"/>
    </xf>
    <xf numFmtId="2" fontId="25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vertical="center" wrapText="1"/>
    </xf>
    <xf numFmtId="0" fontId="0" fillId="6" borderId="0" xfId="0" applyFill="1"/>
    <xf numFmtId="3" fontId="0" fillId="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20" fillId="2" borderId="2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3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2" borderId="25" xfId="0" applyFill="1" applyBorder="1"/>
    <xf numFmtId="3" fontId="13" fillId="4" borderId="26" xfId="0" applyNumberFormat="1" applyFont="1" applyFill="1" applyBorder="1" applyAlignment="1" applyProtection="1">
      <alignment horizontal="center" vertical="center"/>
    </xf>
    <xf numFmtId="4" fontId="13" fillId="6" borderId="26" xfId="0" applyNumberFormat="1" applyFont="1" applyFill="1" applyBorder="1" applyAlignment="1" applyProtection="1">
      <alignment horizontal="center" vertical="center"/>
    </xf>
    <xf numFmtId="3" fontId="13" fillId="6" borderId="14" xfId="0" applyNumberFormat="1" applyFont="1" applyFill="1" applyBorder="1" applyAlignment="1" applyProtection="1">
      <alignment vertical="center" wrapText="1"/>
    </xf>
    <xf numFmtId="3" fontId="13" fillId="6" borderId="20" xfId="0" applyNumberFormat="1" applyFont="1" applyFill="1" applyBorder="1" applyAlignment="1" applyProtection="1">
      <alignment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0" fillId="9" borderId="25" xfId="0" applyFill="1" applyBorder="1"/>
    <xf numFmtId="0" fontId="20" fillId="9" borderId="14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vertical="center" wrapText="1"/>
    </xf>
    <xf numFmtId="0" fontId="12" fillId="11" borderId="21" xfId="0" applyFont="1" applyFill="1" applyBorder="1" applyAlignment="1">
      <alignment vertical="center" wrapText="1"/>
    </xf>
    <xf numFmtId="3" fontId="20" fillId="9" borderId="14" xfId="0" applyNumberFormat="1" applyFont="1" applyFill="1" applyBorder="1" applyAlignment="1">
      <alignment horizontal="center" vertical="center" wrapText="1"/>
    </xf>
    <xf numFmtId="0" fontId="0" fillId="9" borderId="25" xfId="0" applyFill="1" applyBorder="1" applyAlignment="1">
      <alignment vertical="center" wrapText="1"/>
    </xf>
    <xf numFmtId="3" fontId="30" fillId="6" borderId="14" xfId="0" applyNumberFormat="1" applyFont="1" applyFill="1" applyBorder="1" applyAlignment="1">
      <alignment vertical="center" wrapText="1"/>
    </xf>
    <xf numFmtId="0" fontId="10" fillId="11" borderId="0" xfId="0" applyFont="1" applyFill="1" applyBorder="1" applyAlignment="1">
      <alignment vertical="center" wrapText="1"/>
    </xf>
    <xf numFmtId="0" fontId="5" fillId="11" borderId="15" xfId="0" applyFont="1" applyFill="1" applyBorder="1" applyAlignment="1">
      <alignment vertical="center" wrapText="1"/>
    </xf>
    <xf numFmtId="3" fontId="13" fillId="11" borderId="0" xfId="0" applyNumberFormat="1" applyFont="1" applyFill="1" applyBorder="1" applyAlignment="1" applyProtection="1">
      <alignment vertical="center" wrapText="1"/>
    </xf>
    <xf numFmtId="166" fontId="0" fillId="11" borderId="14" xfId="0" applyNumberFormat="1" applyFill="1" applyBorder="1" applyAlignment="1">
      <alignment horizontal="center" vertical="center"/>
    </xf>
    <xf numFmtId="3" fontId="4" fillId="9" borderId="14" xfId="0" applyNumberFormat="1" applyFont="1" applyFill="1" applyBorder="1" applyAlignment="1">
      <alignment vertical="center" wrapText="1"/>
    </xf>
    <xf numFmtId="0" fontId="12" fillId="10" borderId="14" xfId="0" applyFont="1" applyFill="1" applyBorder="1" applyAlignment="1">
      <alignment vertical="center" wrapText="1"/>
    </xf>
    <xf numFmtId="0" fontId="12" fillId="10" borderId="0" xfId="0" applyFont="1" applyFill="1" applyBorder="1" applyAlignment="1">
      <alignment vertical="center" wrapText="1"/>
    </xf>
    <xf numFmtId="10" fontId="11" fillId="11" borderId="14" xfId="0" applyNumberFormat="1" applyFont="1" applyFill="1" applyBorder="1" applyAlignment="1">
      <alignment vertical="center" wrapText="1"/>
    </xf>
    <xf numFmtId="0" fontId="10" fillId="11" borderId="0" xfId="0" applyFont="1" applyFill="1" applyBorder="1" applyAlignment="1">
      <alignment vertical="center"/>
    </xf>
    <xf numFmtId="0" fontId="12" fillId="11" borderId="22" xfId="0" applyFont="1" applyFill="1" applyBorder="1" applyAlignment="1">
      <alignment vertical="center" wrapText="1"/>
    </xf>
    <xf numFmtId="0" fontId="12" fillId="11" borderId="21" xfId="0" applyFont="1" applyFill="1" applyBorder="1" applyAlignment="1">
      <alignment horizontal="center" vertical="center" wrapText="1"/>
    </xf>
    <xf numFmtId="3" fontId="11" fillId="11" borderId="14" xfId="0" applyNumberFormat="1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0" fillId="9" borderId="14" xfId="0" applyFill="1" applyBorder="1"/>
    <xf numFmtId="10" fontId="31" fillId="11" borderId="15" xfId="0" applyNumberFormat="1" applyFont="1" applyFill="1" applyBorder="1" applyAlignment="1" applyProtection="1">
      <alignment horizontal="center" vertical="center" wrapText="1"/>
    </xf>
    <xf numFmtId="3" fontId="11" fillId="10" borderId="20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21" fillId="11" borderId="16" xfId="0" applyFont="1" applyFill="1" applyBorder="1" applyAlignment="1">
      <alignment vertical="center" wrapText="1"/>
    </xf>
    <xf numFmtId="0" fontId="12" fillId="11" borderId="17" xfId="0" applyFont="1" applyFill="1" applyBorder="1" applyAlignment="1">
      <alignment vertical="center" wrapText="1"/>
    </xf>
    <xf numFmtId="0" fontId="21" fillId="11" borderId="18" xfId="0" applyFont="1" applyFill="1" applyBorder="1" applyAlignment="1">
      <alignment vertical="center" wrapText="1"/>
    </xf>
    <xf numFmtId="10" fontId="11" fillId="9" borderId="14" xfId="0" applyNumberFormat="1" applyFont="1" applyFill="1" applyBorder="1" applyAlignment="1">
      <alignment horizontal="center" vertical="center" wrapText="1"/>
    </xf>
    <xf numFmtId="0" fontId="1" fillId="9" borderId="25" xfId="0" applyFont="1" applyFill="1" applyBorder="1"/>
    <xf numFmtId="3" fontId="11" fillId="10" borderId="14" xfId="0" applyNumberFormat="1" applyFont="1" applyFill="1" applyBorder="1" applyAlignment="1">
      <alignment vertical="center" wrapText="1"/>
    </xf>
    <xf numFmtId="10" fontId="6" fillId="11" borderId="14" xfId="0" applyNumberFormat="1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vertical="center" wrapText="1"/>
    </xf>
    <xf numFmtId="3" fontId="8" fillId="11" borderId="14" xfId="0" applyNumberFormat="1" applyFont="1" applyFill="1" applyBorder="1" applyAlignment="1">
      <alignment vertical="center" wrapText="1"/>
    </xf>
    <xf numFmtId="10" fontId="1" fillId="11" borderId="15" xfId="0" applyNumberFormat="1" applyFont="1" applyFill="1" applyBorder="1" applyAlignment="1">
      <alignment horizontal="left" vertical="center" wrapText="1"/>
    </xf>
    <xf numFmtId="2" fontId="0" fillId="10" borderId="0" xfId="0" applyNumberFormat="1" applyFill="1"/>
    <xf numFmtId="3" fontId="22" fillId="11" borderId="14" xfId="0" applyNumberFormat="1" applyFont="1" applyFill="1" applyBorder="1" applyAlignment="1">
      <alignment vertical="center" wrapText="1"/>
    </xf>
    <xf numFmtId="0" fontId="22" fillId="11" borderId="15" xfId="0" applyFont="1" applyFill="1" applyBorder="1" applyAlignment="1">
      <alignment vertical="center" wrapText="1"/>
    </xf>
    <xf numFmtId="4" fontId="22" fillId="11" borderId="14" xfId="0" applyNumberFormat="1" applyFont="1" applyFill="1" applyBorder="1" applyAlignment="1">
      <alignment vertical="center" wrapText="1"/>
    </xf>
    <xf numFmtId="0" fontId="23" fillId="11" borderId="0" xfId="0" applyFont="1" applyFill="1" applyBorder="1" applyAlignment="1">
      <alignment vertical="center"/>
    </xf>
    <xf numFmtId="0" fontId="12" fillId="10" borderId="16" xfId="0" applyFont="1" applyFill="1" applyBorder="1" applyAlignment="1">
      <alignment vertical="center" wrapText="1"/>
    </xf>
    <xf numFmtId="0" fontId="12" fillId="10" borderId="17" xfId="0" applyFont="1" applyFill="1" applyBorder="1" applyAlignment="1">
      <alignment vertical="center" wrapText="1"/>
    </xf>
    <xf numFmtId="10" fontId="1" fillId="11" borderId="16" xfId="0" applyNumberFormat="1" applyFont="1" applyFill="1" applyBorder="1" applyAlignment="1">
      <alignment horizontal="right" vertical="center" wrapText="1"/>
    </xf>
    <xf numFmtId="0" fontId="23" fillId="11" borderId="17" xfId="0" applyFont="1" applyFill="1" applyBorder="1" applyAlignment="1">
      <alignment vertical="center"/>
    </xf>
    <xf numFmtId="0" fontId="0" fillId="11" borderId="18" xfId="0" applyFill="1" applyBorder="1"/>
    <xf numFmtId="3" fontId="13" fillId="11" borderId="17" xfId="0" applyNumberFormat="1" applyFont="1" applyFill="1" applyBorder="1" applyAlignment="1" applyProtection="1">
      <alignment vertical="center" wrapText="1"/>
    </xf>
    <xf numFmtId="10" fontId="6" fillId="11" borderId="16" xfId="0" applyNumberFormat="1" applyFont="1" applyFill="1" applyBorder="1" applyAlignment="1" applyProtection="1">
      <alignment horizontal="center" vertical="center" wrapText="1"/>
    </xf>
    <xf numFmtId="0" fontId="0" fillId="9" borderId="16" xfId="0" applyFill="1" applyBorder="1" applyAlignment="1">
      <alignment vertical="center" wrapText="1"/>
    </xf>
    <xf numFmtId="0" fontId="0" fillId="9" borderId="13" xfId="0" applyFill="1" applyBorder="1"/>
    <xf numFmtId="0" fontId="4" fillId="4" borderId="30" xfId="0" applyFont="1" applyFill="1" applyBorder="1" applyAlignment="1">
      <alignment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3" fillId="6" borderId="2" xfId="0" applyFont="1" applyFill="1" applyBorder="1"/>
    <xf numFmtId="0" fontId="24" fillId="6" borderId="3" xfId="0" applyFont="1" applyFill="1" applyBorder="1"/>
    <xf numFmtId="164" fontId="0" fillId="12" borderId="0" xfId="0" applyNumberFormat="1" applyFill="1" applyBorder="1"/>
    <xf numFmtId="0" fontId="0" fillId="12" borderId="0" xfId="0" applyFill="1" applyBorder="1"/>
    <xf numFmtId="0" fontId="0" fillId="6" borderId="0" xfId="0" applyFill="1" applyBorder="1"/>
    <xf numFmtId="0" fontId="0" fillId="6" borderId="6" xfId="0" applyFill="1" applyBorder="1"/>
    <xf numFmtId="3" fontId="0" fillId="12" borderId="0" xfId="0" applyNumberFormat="1" applyFill="1" applyBorder="1"/>
    <xf numFmtId="0" fontId="0" fillId="6" borderId="5" xfId="0" applyFill="1" applyBorder="1"/>
    <xf numFmtId="2" fontId="0" fillId="12" borderId="0" xfId="0" applyNumberFormat="1" applyFill="1" applyBorder="1"/>
    <xf numFmtId="0" fontId="0" fillId="6" borderId="7" xfId="0" applyFill="1" applyBorder="1"/>
    <xf numFmtId="0" fontId="0" fillId="6" borderId="8" xfId="0" applyFill="1" applyBorder="1"/>
    <xf numFmtId="0" fontId="24" fillId="6" borderId="8" xfId="0" applyFont="1" applyFill="1" applyBorder="1"/>
    <xf numFmtId="0" fontId="0" fillId="6" borderId="9" xfId="0" applyFill="1" applyBorder="1"/>
    <xf numFmtId="0" fontId="1" fillId="2" borderId="0" xfId="0" applyFont="1" applyFill="1"/>
    <xf numFmtId="0" fontId="1" fillId="6" borderId="1" xfId="0" applyFont="1" applyFill="1" applyBorder="1" applyAlignment="1">
      <alignment horizontal="center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3" fontId="13" fillId="4" borderId="26" xfId="0" applyNumberFormat="1" applyFont="1" applyFill="1" applyBorder="1" applyAlignment="1" applyProtection="1">
      <alignment horizontal="center" vertical="center"/>
    </xf>
    <xf numFmtId="3" fontId="35" fillId="6" borderId="14" xfId="0" applyNumberFormat="1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top"/>
    </xf>
    <xf numFmtId="0" fontId="32" fillId="2" borderId="33" xfId="0" applyFont="1" applyFill="1" applyBorder="1" applyAlignment="1">
      <alignment horizontal="center" vertical="top"/>
    </xf>
    <xf numFmtId="0" fontId="1" fillId="12" borderId="0" xfId="0" applyFont="1" applyFill="1" applyBorder="1" applyAlignment="1">
      <alignment horizontal="right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10" fontId="12" fillId="11" borderId="14" xfId="0" applyNumberFormat="1" applyFont="1" applyFill="1" applyBorder="1" applyAlignment="1">
      <alignment horizontal="right" vertical="center" wrapText="1"/>
    </xf>
    <xf numFmtId="10" fontId="12" fillId="11" borderId="0" xfId="0" applyNumberFormat="1" applyFont="1" applyFill="1" applyBorder="1" applyAlignment="1">
      <alignment horizontal="right" vertical="center" wrapText="1"/>
    </xf>
    <xf numFmtId="0" fontId="18" fillId="3" borderId="27" xfId="0" applyFont="1" applyFill="1" applyBorder="1" applyAlignment="1">
      <alignment horizontal="right" vertical="center" wrapText="1"/>
    </xf>
    <xf numFmtId="165" fontId="18" fillId="2" borderId="27" xfId="0" applyNumberFormat="1" applyFont="1" applyFill="1" applyBorder="1" applyAlignment="1">
      <alignment horizontal="center" vertical="center"/>
    </xf>
    <xf numFmtId="165" fontId="18" fillId="2" borderId="28" xfId="0" applyNumberFormat="1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right" vertical="center"/>
    </xf>
    <xf numFmtId="0" fontId="18" fillId="3" borderId="27" xfId="0" applyFont="1" applyFill="1" applyBorder="1" applyAlignment="1">
      <alignment horizontal="right" vertical="center"/>
    </xf>
    <xf numFmtId="0" fontId="18" fillId="3" borderId="28" xfId="0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8" fillId="7" borderId="0" xfId="0" applyFont="1" applyFill="1" applyAlignment="1">
      <alignment horizontal="right"/>
    </xf>
    <xf numFmtId="0" fontId="14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right" vertical="center" wrapText="1"/>
    </xf>
    <xf numFmtId="0" fontId="18" fillId="3" borderId="28" xfId="0" applyFont="1" applyFill="1" applyBorder="1" applyAlignment="1">
      <alignment horizontal="right" vertical="center" wrapText="1"/>
    </xf>
    <xf numFmtId="3" fontId="13" fillId="4" borderId="26" xfId="0" applyNumberFormat="1" applyFont="1" applyFill="1" applyBorder="1" applyAlignment="1" applyProtection="1">
      <alignment horizontal="center" vertical="center"/>
    </xf>
    <xf numFmtId="3" fontId="13" fillId="4" borderId="28" xfId="0" applyNumberFormat="1" applyFont="1" applyFill="1" applyBorder="1" applyAlignment="1" applyProtection="1">
      <alignment horizontal="center" vertic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</cellXfs>
  <cellStyles count="4">
    <cellStyle name="Hiperlink 2" xfId="2"/>
    <cellStyle name="Normal" xfId="0" builtinId="0"/>
    <cellStyle name="Normal 2" xfId="1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ULIAN~1/LOCALS~1/Temp/Rar$DI00.406/WaterAuditDraftAlpha1.05_OCU_IndepenSys_JTv2_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Audit Details"/>
      <sheetName val="Audit Results"/>
      <sheetName val="Data - Infrastructure"/>
      <sheetName val="Data - System Inputs"/>
      <sheetName val="Data - Consumption"/>
      <sheetName val="Apparent Losses"/>
      <sheetName val="Real Losses"/>
      <sheetName val="Variance Analysis"/>
      <sheetName val="ILI Calculation"/>
      <sheetName val="Performance Indicators"/>
      <sheetName val="Glossary"/>
      <sheetName val="Confidence Grades"/>
      <sheetName val="Leakage-Pressure"/>
      <sheetName val="License"/>
      <sheetName val="Software Version History"/>
      <sheetName val="Lists"/>
      <sheetName val="Chart1"/>
      <sheetName val="Chart Data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>
        <row r="3">
          <cell r="A3" t="str">
            <v>A1</v>
          </cell>
        </row>
        <row r="4">
          <cell r="A4" t="str">
            <v>A2</v>
          </cell>
        </row>
        <row r="5">
          <cell r="A5" t="str">
            <v>A3</v>
          </cell>
        </row>
        <row r="6">
          <cell r="A6" t="str">
            <v>A4</v>
          </cell>
        </row>
        <row r="7">
          <cell r="A7" t="str">
            <v>B2</v>
          </cell>
        </row>
        <row r="8">
          <cell r="A8" t="str">
            <v>B3</v>
          </cell>
        </row>
        <row r="9">
          <cell r="A9" t="str">
            <v>B4</v>
          </cell>
        </row>
        <row r="10">
          <cell r="A10" t="str">
            <v>B2</v>
          </cell>
        </row>
        <row r="11">
          <cell r="A11" t="str">
            <v>B3</v>
          </cell>
        </row>
        <row r="12">
          <cell r="A12" t="str">
            <v>B4</v>
          </cell>
        </row>
        <row r="13">
          <cell r="A13" t="str">
            <v>D4</v>
          </cell>
        </row>
        <row r="14">
          <cell r="A14" t="str">
            <v>D5</v>
          </cell>
        </row>
        <row r="15">
          <cell r="A15" t="str">
            <v>D6</v>
          </cell>
        </row>
        <row r="16">
          <cell r="A16" t="str">
            <v>DX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70" zoomScaleNormal="70" workbookViewId="0">
      <selection activeCell="O15" sqref="O15"/>
    </sheetView>
  </sheetViews>
  <sheetFormatPr defaultRowHeight="12.75" x14ac:dyDescent="0.2"/>
  <cols>
    <col min="1" max="1" width="20.140625" customWidth="1"/>
    <col min="2" max="2" width="16.42578125" customWidth="1"/>
    <col min="3" max="3" width="17.85546875" customWidth="1"/>
    <col min="4" max="4" width="15.5703125" customWidth="1"/>
    <col min="5" max="5" width="16.5703125" customWidth="1"/>
    <col min="6" max="6" width="18" customWidth="1"/>
    <col min="7" max="7" width="15.42578125" customWidth="1"/>
    <col min="8" max="8" width="23.85546875" customWidth="1"/>
    <col min="9" max="9" width="16.42578125" customWidth="1"/>
    <col min="10" max="10" width="19.28515625" customWidth="1"/>
    <col min="11" max="11" width="11" customWidth="1"/>
    <col min="12" max="12" width="11.7109375" bestFit="1" customWidth="1"/>
  </cols>
  <sheetData>
    <row r="1" spans="1:20" ht="27.75" customHeight="1" thickBot="1" x14ac:dyDescent="0.3">
      <c r="A1" s="166" t="s">
        <v>4</v>
      </c>
      <c r="B1" s="166"/>
      <c r="C1" s="166"/>
      <c r="D1" s="142" t="s">
        <v>56</v>
      </c>
      <c r="E1" s="143"/>
      <c r="F1" s="144"/>
      <c r="G1" s="28"/>
      <c r="H1" s="28"/>
      <c r="I1" s="28"/>
      <c r="J1" s="28"/>
      <c r="K1" s="28"/>
    </row>
    <row r="2" spans="1:20" ht="54.75" customHeight="1" thickBot="1" x14ac:dyDescent="0.25">
      <c r="A2" s="167" t="s">
        <v>76</v>
      </c>
      <c r="B2" s="168"/>
      <c r="C2" s="168"/>
      <c r="D2" s="169"/>
      <c r="E2" s="169"/>
      <c r="F2" s="169"/>
      <c r="G2" s="168"/>
      <c r="H2" s="168"/>
      <c r="I2" s="168"/>
      <c r="J2" s="168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thickBot="1" x14ac:dyDescent="0.25">
      <c r="A3" s="170" t="s">
        <v>5</v>
      </c>
      <c r="B3" s="152"/>
      <c r="C3" s="171"/>
      <c r="D3" s="172">
        <v>33139</v>
      </c>
      <c r="E3" s="173"/>
      <c r="F3" s="155" t="s">
        <v>6</v>
      </c>
      <c r="G3" s="156"/>
      <c r="H3" s="156"/>
      <c r="I3" s="157"/>
      <c r="J3" s="54">
        <v>12900</v>
      </c>
      <c r="K3" s="53"/>
      <c r="L3" s="1"/>
      <c r="M3" s="1"/>
      <c r="N3" s="1"/>
      <c r="O3" s="1"/>
      <c r="P3" s="1"/>
      <c r="Q3" s="1"/>
      <c r="R3" s="1"/>
      <c r="S3" s="1"/>
      <c r="T3" s="1"/>
    </row>
    <row r="4" spans="1:20" ht="4.5" customHeight="1" thickBot="1" x14ac:dyDescent="0.25">
      <c r="K4" s="53"/>
      <c r="L4" s="1"/>
      <c r="M4" s="1"/>
      <c r="N4" s="1"/>
      <c r="O4" s="1"/>
      <c r="P4" s="1"/>
      <c r="Q4" s="1"/>
      <c r="R4" s="1"/>
      <c r="S4" s="1"/>
      <c r="T4" s="1"/>
    </row>
    <row r="5" spans="1:20" ht="36.75" customHeight="1" thickBot="1" x14ac:dyDescent="0.25">
      <c r="A5" s="152" t="s">
        <v>7</v>
      </c>
      <c r="B5" s="152"/>
      <c r="C5" s="152"/>
      <c r="D5" s="153">
        <f>C12+E17</f>
        <v>219.78589974069371</v>
      </c>
      <c r="E5" s="154"/>
      <c r="F5" s="155" t="s">
        <v>8</v>
      </c>
      <c r="G5" s="156"/>
      <c r="H5" s="156"/>
      <c r="I5" s="157"/>
      <c r="J5" s="55">
        <v>22.3</v>
      </c>
      <c r="K5" s="53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2">
      <c r="A6" s="158" t="s">
        <v>9</v>
      </c>
      <c r="B6" s="159"/>
      <c r="C6" s="158" t="s">
        <v>10</v>
      </c>
      <c r="D6" s="162"/>
      <c r="E6" s="130" t="s">
        <v>11</v>
      </c>
      <c r="F6" s="131"/>
      <c r="G6" s="132"/>
      <c r="H6" s="10" t="s">
        <v>12</v>
      </c>
      <c r="I6" s="11" t="s">
        <v>13</v>
      </c>
      <c r="J6" s="49" t="s">
        <v>14</v>
      </c>
      <c r="K6" s="5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 x14ac:dyDescent="0.25">
      <c r="A7" s="160"/>
      <c r="B7" s="161"/>
      <c r="C7" s="160"/>
      <c r="D7" s="163"/>
      <c r="E7" s="12">
        <f>H7+H9</f>
        <v>2141070</v>
      </c>
      <c r="F7" s="13" t="s">
        <v>0</v>
      </c>
      <c r="G7" s="14"/>
      <c r="H7" s="56">
        <v>2141070</v>
      </c>
      <c r="I7" s="164" t="s">
        <v>15</v>
      </c>
      <c r="J7" s="50"/>
      <c r="K7" s="53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160"/>
      <c r="B8" s="161"/>
      <c r="C8" s="160"/>
      <c r="D8" s="163"/>
      <c r="E8" s="15">
        <f>(E7*1000/365)/$J$3</f>
        <v>454.72443453329089</v>
      </c>
      <c r="F8" s="13" t="s">
        <v>16</v>
      </c>
      <c r="G8" s="14"/>
      <c r="H8" s="10" t="s">
        <v>17</v>
      </c>
      <c r="I8" s="164"/>
      <c r="J8" s="51">
        <f>E7</f>
        <v>2141070</v>
      </c>
      <c r="K8" s="53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thickBot="1" x14ac:dyDescent="0.25">
      <c r="A9" s="160"/>
      <c r="B9" s="161"/>
      <c r="C9" s="160"/>
      <c r="D9" s="163"/>
      <c r="E9" s="15">
        <f>E7*1000/(365*$D$3)</f>
        <v>177.01032636710377</v>
      </c>
      <c r="F9" s="13" t="s">
        <v>18</v>
      </c>
      <c r="G9" s="14"/>
      <c r="H9" s="56">
        <v>0</v>
      </c>
      <c r="I9" s="165"/>
      <c r="J9" s="52" t="s">
        <v>0</v>
      </c>
      <c r="K9" s="53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7">
        <v>4188520</v>
      </c>
      <c r="B10" s="14" t="s">
        <v>0</v>
      </c>
      <c r="C10" s="12">
        <f>E7+E11</f>
        <v>2166990</v>
      </c>
      <c r="D10" s="14" t="s">
        <v>0</v>
      </c>
      <c r="E10" s="130" t="s">
        <v>19</v>
      </c>
      <c r="F10" s="131"/>
      <c r="G10" s="132"/>
      <c r="H10" s="10" t="s">
        <v>80</v>
      </c>
      <c r="I10" s="16" t="s">
        <v>20</v>
      </c>
      <c r="J10" s="58" t="s">
        <v>21</v>
      </c>
      <c r="K10" s="59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25">
      <c r="A11" s="15">
        <f>(A10*1000/365)/$J$3</f>
        <v>889.56567909100568</v>
      </c>
      <c r="B11" s="14" t="s">
        <v>16</v>
      </c>
      <c r="C11" s="15">
        <f>E8+E12</f>
        <v>460.2293724115961</v>
      </c>
      <c r="D11" s="14" t="s">
        <v>16</v>
      </c>
      <c r="E11" s="12">
        <f>H11+H13</f>
        <v>25920</v>
      </c>
      <c r="F11" s="13" t="s">
        <v>0</v>
      </c>
      <c r="G11" s="14"/>
      <c r="H11" s="56">
        <v>5977</v>
      </c>
      <c r="I11" s="17">
        <f>H11/A10</f>
        <v>1.426995692989409E-3</v>
      </c>
      <c r="J11" s="60" t="s">
        <v>22</v>
      </c>
      <c r="K11" s="59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12">
        <f>A10*1000/(365*$D$3)</f>
        <v>346.28073449029762</v>
      </c>
      <c r="B12" s="14" t="s">
        <v>18</v>
      </c>
      <c r="C12" s="12">
        <f>E9+E13</f>
        <v>179.15323045685111</v>
      </c>
      <c r="D12" s="14" t="s">
        <v>18</v>
      </c>
      <c r="E12" s="18">
        <f>(E11*1000/365)/$J$3</f>
        <v>5.504937878305193</v>
      </c>
      <c r="F12" s="13" t="s">
        <v>16</v>
      </c>
      <c r="G12" s="14"/>
      <c r="H12" s="10" t="s">
        <v>46</v>
      </c>
      <c r="I12" s="16" t="s">
        <v>20</v>
      </c>
      <c r="J12" s="60" t="s">
        <v>23</v>
      </c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25">
      <c r="A13" s="15">
        <f>A10*1000/(365*24*3600)</f>
        <v>132.81709791983764</v>
      </c>
      <c r="B13" s="14" t="s">
        <v>24</v>
      </c>
      <c r="C13" s="15">
        <f>C10*1000/(365*24*3600)</f>
        <v>68.714802130898022</v>
      </c>
      <c r="D13" s="14" t="s">
        <v>24</v>
      </c>
      <c r="E13" s="19">
        <f>E11*1000/(365*$D$3)</f>
        <v>2.1429040897473364</v>
      </c>
      <c r="F13" s="13" t="s">
        <v>18</v>
      </c>
      <c r="G13" s="14"/>
      <c r="H13" s="56">
        <v>19943</v>
      </c>
      <c r="I13" s="17">
        <f>H13/A10</f>
        <v>4.7613476836686945E-3</v>
      </c>
      <c r="J13" s="61"/>
      <c r="K13" s="59"/>
      <c r="L13" s="1"/>
      <c r="M13" s="1"/>
      <c r="N13" s="1"/>
      <c r="O13" s="1"/>
      <c r="P13" s="1"/>
      <c r="Q13" s="1"/>
      <c r="R13" s="1"/>
      <c r="S13" s="1"/>
      <c r="T13" s="1"/>
    </row>
    <row r="14" spans="1:20" ht="35.25" customHeight="1" x14ac:dyDescent="0.2">
      <c r="A14" s="20"/>
      <c r="B14" s="21"/>
      <c r="C14" s="134" t="s">
        <v>25</v>
      </c>
      <c r="D14" s="135"/>
      <c r="E14" s="136" t="s">
        <v>26</v>
      </c>
      <c r="F14" s="137"/>
      <c r="G14" s="138"/>
      <c r="H14" s="62" t="s">
        <v>27</v>
      </c>
      <c r="I14" s="63" t="s">
        <v>47</v>
      </c>
      <c r="J14" s="64">
        <f>A10-J8</f>
        <v>2047450</v>
      </c>
      <c r="K14" s="65" t="s">
        <v>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thickBot="1" x14ac:dyDescent="0.25">
      <c r="A15" s="22"/>
      <c r="B15" s="14"/>
      <c r="C15" s="145"/>
      <c r="D15" s="146"/>
      <c r="E15" s="66">
        <f>H15+H18</f>
        <v>491482</v>
      </c>
      <c r="F15" s="67" t="s">
        <v>0</v>
      </c>
      <c r="G15" s="68"/>
      <c r="H15" s="69">
        <v>377836</v>
      </c>
      <c r="I15" s="70"/>
      <c r="J15" s="71">
        <f>(J14*1000/365)/$J$3</f>
        <v>434.84124455771473</v>
      </c>
      <c r="K15" s="65" t="s">
        <v>16</v>
      </c>
      <c r="L15" s="26"/>
      <c r="M15" s="1"/>
      <c r="N15" s="1"/>
      <c r="O15" s="1"/>
      <c r="P15" s="1"/>
      <c r="Q15" s="1"/>
      <c r="R15" s="1"/>
      <c r="S15" s="1"/>
      <c r="T15" s="1"/>
    </row>
    <row r="16" spans="1:20" ht="30" x14ac:dyDescent="0.2">
      <c r="A16" s="22"/>
      <c r="B16" s="14"/>
      <c r="C16" s="72"/>
      <c r="D16" s="73"/>
      <c r="E16" s="74">
        <f>E15/C10</f>
        <v>0.2268040000184588</v>
      </c>
      <c r="F16" s="75" t="s">
        <v>29</v>
      </c>
      <c r="G16" s="68"/>
      <c r="H16" s="76" t="s">
        <v>91</v>
      </c>
      <c r="I16" s="77" t="s">
        <v>28</v>
      </c>
      <c r="J16" s="71">
        <f>J14*1000/(365*$D$3)</f>
        <v>169.27040812319385</v>
      </c>
      <c r="K16" s="65" t="s">
        <v>18</v>
      </c>
      <c r="L16" s="27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22"/>
      <c r="B17" s="14"/>
      <c r="C17" s="72"/>
      <c r="D17" s="73"/>
      <c r="E17" s="78">
        <f>(E15*1000/365)/$D$3</f>
        <v>40.63266928384261</v>
      </c>
      <c r="F17" s="67" t="s">
        <v>18</v>
      </c>
      <c r="G17" s="68"/>
      <c r="H17" s="79"/>
      <c r="I17" s="80"/>
      <c r="J17" s="71">
        <f>J14*1000/(365*24*3600)</f>
        <v>64.924213597158797</v>
      </c>
      <c r="K17" s="65" t="s">
        <v>24</v>
      </c>
      <c r="L17" s="26"/>
      <c r="M17" s="1"/>
      <c r="N17" s="1"/>
      <c r="O17" s="1"/>
      <c r="P17" s="1"/>
      <c r="Q17" s="1"/>
      <c r="R17" s="1"/>
      <c r="S17" s="1"/>
      <c r="T17" s="1"/>
    </row>
    <row r="18" spans="1:20" ht="21.75" customHeight="1" thickBot="1" x14ac:dyDescent="0.25">
      <c r="A18" s="22"/>
      <c r="B18" s="14"/>
      <c r="C18" s="72"/>
      <c r="D18" s="73"/>
      <c r="E18" s="78">
        <f>(E15*1000/365)/($J$3)</f>
        <v>104.38186258893491</v>
      </c>
      <c r="F18" s="67" t="s">
        <v>16</v>
      </c>
      <c r="G18" s="68"/>
      <c r="H18" s="69">
        <v>113646</v>
      </c>
      <c r="I18" s="70"/>
      <c r="J18" s="81"/>
      <c r="K18" s="59"/>
      <c r="L18" s="26"/>
      <c r="M18" s="1"/>
      <c r="N18" s="1"/>
      <c r="O18" s="1"/>
      <c r="P18" s="1"/>
      <c r="Q18" s="1"/>
      <c r="R18" s="1"/>
      <c r="S18" s="1"/>
      <c r="T18" s="1"/>
    </row>
    <row r="19" spans="1:20" ht="15.75" x14ac:dyDescent="0.2">
      <c r="A19" s="22"/>
      <c r="B19" s="14"/>
      <c r="C19" s="72"/>
      <c r="D19" s="73"/>
      <c r="E19" s="150" t="s">
        <v>81</v>
      </c>
      <c r="F19" s="151"/>
      <c r="G19" s="82">
        <f>E15/C20</f>
        <v>0.24312377258808923</v>
      </c>
      <c r="H19" s="76"/>
      <c r="I19" s="77" t="s">
        <v>28</v>
      </c>
      <c r="J19" s="71"/>
      <c r="K19" s="65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thickBot="1" x14ac:dyDescent="0.25">
      <c r="A20" s="22"/>
      <c r="B20" s="14"/>
      <c r="C20" s="83">
        <f>A10-C10</f>
        <v>2021530</v>
      </c>
      <c r="D20" s="84" t="s">
        <v>0</v>
      </c>
      <c r="E20" s="85"/>
      <c r="F20" s="86"/>
      <c r="G20" s="87"/>
      <c r="H20" s="69"/>
      <c r="I20" s="70"/>
      <c r="J20" s="88">
        <f>J14/A10</f>
        <v>0.48882421475843496</v>
      </c>
      <c r="K20" s="89" t="s">
        <v>28</v>
      </c>
      <c r="L20" s="23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">
      <c r="A21" s="22"/>
      <c r="B21" s="14"/>
      <c r="C21" s="90"/>
      <c r="D21" s="84"/>
      <c r="E21" s="147" t="s">
        <v>32</v>
      </c>
      <c r="F21" s="148"/>
      <c r="G21" s="149"/>
      <c r="H21" s="76" t="s">
        <v>33</v>
      </c>
      <c r="I21" s="77" t="s">
        <v>34</v>
      </c>
      <c r="J21" s="88"/>
      <c r="K21" s="59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thickBot="1" x14ac:dyDescent="0.25">
      <c r="A22" s="22"/>
      <c r="B22" s="14"/>
      <c r="C22" s="90">
        <f>(C20*1000/365)/$J$3</f>
        <v>429.33630667940957</v>
      </c>
      <c r="D22" s="84" t="s">
        <v>16</v>
      </c>
      <c r="E22" s="147"/>
      <c r="F22" s="148"/>
      <c r="G22" s="149"/>
      <c r="H22" s="69">
        <f>E23*0.85</f>
        <v>1300540.8</v>
      </c>
      <c r="I22" s="91"/>
      <c r="J22" s="92"/>
      <c r="K22" s="59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">
      <c r="A23" s="22"/>
      <c r="B23" s="14"/>
      <c r="C23" s="83">
        <f>A12-C12</f>
        <v>167.12750403344651</v>
      </c>
      <c r="D23" s="84" t="s">
        <v>18</v>
      </c>
      <c r="E23" s="93">
        <f>A10-C10-E15</f>
        <v>1530048</v>
      </c>
      <c r="F23" s="67" t="s">
        <v>35</v>
      </c>
      <c r="G23" s="94"/>
      <c r="H23" s="76" t="s">
        <v>36</v>
      </c>
      <c r="I23" s="77" t="s">
        <v>34</v>
      </c>
      <c r="J23" s="92"/>
      <c r="K23" s="59"/>
      <c r="L23" s="1"/>
      <c r="M23" s="1"/>
      <c r="N23" s="1"/>
      <c r="O23" s="1"/>
      <c r="P23" s="1"/>
      <c r="Q23" s="1"/>
      <c r="R23" s="1"/>
      <c r="S23" s="1"/>
      <c r="T23" s="1"/>
    </row>
    <row r="24" spans="1:20" ht="16.5" thickBot="1" x14ac:dyDescent="0.25">
      <c r="A24" s="22"/>
      <c r="B24" s="14"/>
      <c r="C24" s="95">
        <f>C20*100/A10</f>
        <v>48.263587138177684</v>
      </c>
      <c r="D24" s="73" t="s">
        <v>28</v>
      </c>
      <c r="E24" s="96">
        <f>(E23*1000/365)*(24/$J$5)/$J$3</f>
        <v>349.72675597181131</v>
      </c>
      <c r="F24" s="67" t="s">
        <v>16</v>
      </c>
      <c r="G24" s="97" t="s">
        <v>37</v>
      </c>
      <c r="H24" s="69">
        <f>0.14*E23</f>
        <v>214206.72000000003</v>
      </c>
      <c r="I24" s="91"/>
      <c r="J24" s="92"/>
      <c r="K24" s="59"/>
      <c r="L24" s="1"/>
      <c r="M24" s="1"/>
      <c r="N24" s="1"/>
      <c r="O24" s="1"/>
      <c r="P24" s="1"/>
      <c r="Q24" s="1"/>
      <c r="R24" s="1"/>
      <c r="S24" s="1"/>
      <c r="T24" s="1"/>
    </row>
    <row r="25" spans="1:20" ht="33.75" customHeight="1" x14ac:dyDescent="0.2">
      <c r="A25" s="22"/>
      <c r="B25" s="14"/>
      <c r="C25" s="72"/>
      <c r="D25" s="73"/>
      <c r="E25" s="98">
        <f>E23/(365*J5)/H27</f>
        <v>1.3721031484295516</v>
      </c>
      <c r="F25" s="99" t="s">
        <v>38</v>
      </c>
      <c r="G25" s="97" t="s">
        <v>37</v>
      </c>
      <c r="H25" s="76" t="s">
        <v>39</v>
      </c>
      <c r="I25" s="77" t="s">
        <v>34</v>
      </c>
      <c r="J25" s="92"/>
      <c r="K25" s="59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25">
      <c r="A26" s="24"/>
      <c r="B26" s="25"/>
      <c r="C26" s="100"/>
      <c r="D26" s="101"/>
      <c r="E26" s="102">
        <f>E23/A10</f>
        <v>0.36529561754509948</v>
      </c>
      <c r="F26" s="103" t="s">
        <v>20</v>
      </c>
      <c r="G26" s="104"/>
      <c r="H26" s="105">
        <f>0.01*E23</f>
        <v>15300.48</v>
      </c>
      <c r="I26" s="106"/>
      <c r="J26" s="107"/>
      <c r="K26" s="10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">
      <c r="A27" s="1"/>
      <c r="B27" s="1"/>
      <c r="C27" s="139" t="s">
        <v>40</v>
      </c>
      <c r="D27" s="139"/>
      <c r="E27" s="139"/>
      <c r="F27" s="140"/>
      <c r="G27" s="109" t="s">
        <v>41</v>
      </c>
      <c r="H27" s="110">
        <v>137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75" customHeight="1" x14ac:dyDescent="0.35">
      <c r="A28" s="111" t="s">
        <v>82</v>
      </c>
      <c r="B28" s="47"/>
      <c r="C28" s="112"/>
      <c r="D28" s="47"/>
      <c r="E28" s="47"/>
      <c r="F28" s="47"/>
      <c r="G28" s="47"/>
      <c r="H28" s="47"/>
      <c r="I28" s="47"/>
      <c r="J28" s="47"/>
      <c r="K28" s="48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41"/>
      <c r="B29" s="141" t="s">
        <v>83</v>
      </c>
      <c r="C29" s="141"/>
      <c r="D29" s="141"/>
      <c r="E29" s="113">
        <v>29</v>
      </c>
      <c r="F29" s="114"/>
      <c r="G29" s="115"/>
      <c r="H29" s="115"/>
      <c r="I29" s="115"/>
      <c r="J29" s="115"/>
      <c r="K29" s="116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15"/>
      <c r="B30" s="141" t="s">
        <v>84</v>
      </c>
      <c r="C30" s="141"/>
      <c r="D30" s="141"/>
      <c r="E30" s="117">
        <f>(0.8*J3+25*H27)*E29*(365/1000)</f>
        <v>145490.82499999998</v>
      </c>
      <c r="F30" s="114"/>
      <c r="G30" s="115"/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18"/>
      <c r="B31" s="141" t="s">
        <v>85</v>
      </c>
      <c r="C31" s="141"/>
      <c r="D31" s="141"/>
      <c r="E31" s="119">
        <f>E23/E30</f>
        <v>10.516456965585288</v>
      </c>
      <c r="F31" s="114"/>
      <c r="G31" s="115"/>
      <c r="H31" s="115"/>
      <c r="I31" s="115"/>
      <c r="J31" s="115"/>
      <c r="K31" s="116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20"/>
      <c r="B32" s="121"/>
      <c r="C32" s="122"/>
      <c r="D32" s="121"/>
      <c r="E32" s="121"/>
      <c r="F32" s="121"/>
      <c r="G32" s="121"/>
      <c r="H32" s="121"/>
      <c r="I32" s="121"/>
      <c r="J32" s="121"/>
      <c r="K32" s="123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 x14ac:dyDescent="0.2">
      <c r="A33" s="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">
        <v>1</v>
      </c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9">
        <v>2</v>
      </c>
      <c r="B35" s="133" t="s">
        <v>44</v>
      </c>
      <c r="C35" s="133"/>
      <c r="D35" s="133"/>
      <c r="E35" s="133"/>
      <c r="F35" s="133"/>
      <c r="G35" s="133"/>
      <c r="H35" s="133"/>
      <c r="I35" s="133"/>
      <c r="J35" s="1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>
        <v>3</v>
      </c>
      <c r="B36" s="133" t="s">
        <v>45</v>
      </c>
      <c r="C36" s="133"/>
      <c r="D36" s="133"/>
      <c r="E36" s="133"/>
      <c r="F36" s="133"/>
      <c r="G36" s="133"/>
      <c r="H36" s="133"/>
      <c r="I36" s="133"/>
      <c r="J36" s="13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>
        <v>4</v>
      </c>
      <c r="B37" s="124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dataConsolidate/>
  <mergeCells count="26">
    <mergeCell ref="D1:F1"/>
    <mergeCell ref="C15:D15"/>
    <mergeCell ref="E21:G22"/>
    <mergeCell ref="E19:F19"/>
    <mergeCell ref="A5:C5"/>
    <mergeCell ref="D5:E5"/>
    <mergeCell ref="F5:I5"/>
    <mergeCell ref="A6:B9"/>
    <mergeCell ref="C6:D9"/>
    <mergeCell ref="E6:G6"/>
    <mergeCell ref="I7:I9"/>
    <mergeCell ref="A1:C1"/>
    <mergeCell ref="A2:J2"/>
    <mergeCell ref="A3:C3"/>
    <mergeCell ref="D3:E3"/>
    <mergeCell ref="F3:I3"/>
    <mergeCell ref="E10:G10"/>
    <mergeCell ref="B34:J34"/>
    <mergeCell ref="B35:J35"/>
    <mergeCell ref="B36:J36"/>
    <mergeCell ref="C14:D14"/>
    <mergeCell ref="E14:G14"/>
    <mergeCell ref="C27:F27"/>
    <mergeCell ref="B29:D29"/>
    <mergeCell ref="B30:D30"/>
    <mergeCell ref="B31:D3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topLeftCell="A4" zoomScale="70" zoomScaleNormal="70" workbookViewId="0">
      <selection activeCell="M19" sqref="M19"/>
    </sheetView>
  </sheetViews>
  <sheetFormatPr defaultRowHeight="12.75" x14ac:dyDescent="0.2"/>
  <cols>
    <col min="1" max="1" width="20.140625" customWidth="1"/>
    <col min="2" max="2" width="16.42578125" customWidth="1"/>
    <col min="3" max="3" width="17.85546875" customWidth="1"/>
    <col min="4" max="4" width="15.5703125" customWidth="1"/>
    <col min="5" max="5" width="16.5703125" customWidth="1"/>
    <col min="6" max="6" width="18" customWidth="1"/>
    <col min="7" max="7" width="15.42578125" customWidth="1"/>
    <col min="8" max="8" width="23.85546875" customWidth="1"/>
    <col min="9" max="9" width="16.42578125" customWidth="1"/>
    <col min="10" max="10" width="19.28515625" customWidth="1"/>
    <col min="11" max="11" width="11" customWidth="1"/>
    <col min="12" max="12" width="11.7109375" bestFit="1" customWidth="1"/>
  </cols>
  <sheetData>
    <row r="1" spans="1:20" ht="27.75" customHeight="1" thickBot="1" x14ac:dyDescent="0.4">
      <c r="A1" s="166" t="s">
        <v>4</v>
      </c>
      <c r="B1" s="166"/>
      <c r="C1" s="166"/>
      <c r="D1" s="174" t="s">
        <v>56</v>
      </c>
      <c r="E1" s="175"/>
      <c r="F1" s="176"/>
      <c r="G1" s="28"/>
      <c r="H1" s="28"/>
      <c r="I1" s="28"/>
      <c r="J1" s="28"/>
      <c r="K1" s="28"/>
    </row>
    <row r="2" spans="1:20" ht="54.75" customHeight="1" thickBot="1" x14ac:dyDescent="0.25">
      <c r="A2" s="167" t="s">
        <v>76</v>
      </c>
      <c r="B2" s="168"/>
      <c r="C2" s="168"/>
      <c r="D2" s="169"/>
      <c r="E2" s="169"/>
      <c r="F2" s="169"/>
      <c r="G2" s="168"/>
      <c r="H2" s="168"/>
      <c r="I2" s="168"/>
      <c r="J2" s="168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thickBot="1" x14ac:dyDescent="0.25">
      <c r="A3" s="170" t="s">
        <v>5</v>
      </c>
      <c r="B3" s="152"/>
      <c r="C3" s="171"/>
      <c r="D3" s="172">
        <v>33139</v>
      </c>
      <c r="E3" s="173"/>
      <c r="F3" s="155" t="s">
        <v>6</v>
      </c>
      <c r="G3" s="156"/>
      <c r="H3" s="156"/>
      <c r="I3" s="157"/>
      <c r="J3" s="128">
        <v>12900</v>
      </c>
      <c r="K3" s="53"/>
      <c r="L3" s="1"/>
      <c r="M3" s="1"/>
      <c r="N3" s="1"/>
      <c r="O3" s="1"/>
      <c r="P3" s="1"/>
      <c r="Q3" s="1"/>
      <c r="R3" s="1"/>
      <c r="S3" s="1"/>
      <c r="T3" s="1"/>
    </row>
    <row r="4" spans="1:20" ht="4.5" customHeight="1" thickBot="1" x14ac:dyDescent="0.25">
      <c r="K4" s="53"/>
      <c r="L4" s="1"/>
      <c r="M4" s="1"/>
      <c r="N4" s="1"/>
      <c r="O4" s="1"/>
      <c r="P4" s="1"/>
      <c r="Q4" s="1"/>
      <c r="R4" s="1"/>
      <c r="S4" s="1"/>
      <c r="T4" s="1"/>
    </row>
    <row r="5" spans="1:20" ht="36.75" customHeight="1" thickBot="1" x14ac:dyDescent="0.25">
      <c r="A5" s="152" t="s">
        <v>7</v>
      </c>
      <c r="B5" s="152"/>
      <c r="C5" s="152"/>
      <c r="D5" s="153">
        <f>C12+E17</f>
        <v>198.616702498856</v>
      </c>
      <c r="E5" s="154"/>
      <c r="F5" s="155" t="s">
        <v>8</v>
      </c>
      <c r="G5" s="156"/>
      <c r="H5" s="156"/>
      <c r="I5" s="157"/>
      <c r="J5" s="55">
        <v>24</v>
      </c>
      <c r="K5" s="53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2">
      <c r="A6" s="158" t="s">
        <v>9</v>
      </c>
      <c r="B6" s="159"/>
      <c r="C6" s="158" t="s">
        <v>10</v>
      </c>
      <c r="D6" s="162"/>
      <c r="E6" s="130" t="s">
        <v>11</v>
      </c>
      <c r="F6" s="131"/>
      <c r="G6" s="132"/>
      <c r="H6" s="10" t="s">
        <v>12</v>
      </c>
      <c r="I6" s="11" t="s">
        <v>13</v>
      </c>
      <c r="J6" s="49" t="s">
        <v>14</v>
      </c>
      <c r="K6" s="5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 x14ac:dyDescent="0.25">
      <c r="A7" s="160"/>
      <c r="B7" s="161"/>
      <c r="C7" s="160"/>
      <c r="D7" s="163"/>
      <c r="E7" s="12">
        <f>H7+H9</f>
        <v>2141070</v>
      </c>
      <c r="F7" s="13" t="s">
        <v>0</v>
      </c>
      <c r="G7" s="14"/>
      <c r="H7" s="56">
        <v>2141070</v>
      </c>
      <c r="I7" s="164" t="s">
        <v>15</v>
      </c>
      <c r="J7" s="50"/>
      <c r="K7" s="53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160"/>
      <c r="B8" s="161"/>
      <c r="C8" s="160"/>
      <c r="D8" s="163"/>
      <c r="E8" s="15">
        <f>(E7*1000/365)/$J$3</f>
        <v>454.72443453329089</v>
      </c>
      <c r="F8" s="13" t="s">
        <v>16</v>
      </c>
      <c r="G8" s="14"/>
      <c r="H8" s="10" t="s">
        <v>17</v>
      </c>
      <c r="I8" s="164"/>
      <c r="J8" s="51">
        <f>E7</f>
        <v>2141070</v>
      </c>
      <c r="K8" s="53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thickBot="1" x14ac:dyDescent="0.25">
      <c r="A9" s="160"/>
      <c r="B9" s="161"/>
      <c r="C9" s="160"/>
      <c r="D9" s="163"/>
      <c r="E9" s="15">
        <f>E7*1000/(365*$D$3)</f>
        <v>177.01032636710377</v>
      </c>
      <c r="F9" s="13" t="s">
        <v>18</v>
      </c>
      <c r="G9" s="14"/>
      <c r="H9" s="56">
        <v>0</v>
      </c>
      <c r="I9" s="165"/>
      <c r="J9" s="52" t="s">
        <v>0</v>
      </c>
      <c r="K9" s="53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7">
        <f>C10+C20</f>
        <v>3344115</v>
      </c>
      <c r="B10" s="14" t="s">
        <v>0</v>
      </c>
      <c r="C10" s="12">
        <f>E7+E11</f>
        <v>2166990</v>
      </c>
      <c r="D10" s="14" t="s">
        <v>0</v>
      </c>
      <c r="E10" s="130" t="s">
        <v>19</v>
      </c>
      <c r="F10" s="131"/>
      <c r="G10" s="132"/>
      <c r="H10" s="10" t="s">
        <v>80</v>
      </c>
      <c r="I10" s="16" t="s">
        <v>20</v>
      </c>
      <c r="J10" s="58" t="s">
        <v>21</v>
      </c>
      <c r="K10" s="59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25">
      <c r="A11" s="15">
        <f>(A10*1000/365)/$J$3</f>
        <v>710.22937241159616</v>
      </c>
      <c r="B11" s="14" t="s">
        <v>16</v>
      </c>
      <c r="C11" s="15">
        <f>E8+E12</f>
        <v>460.2293724115961</v>
      </c>
      <c r="D11" s="14" t="s">
        <v>16</v>
      </c>
      <c r="E11" s="12">
        <f>H11+H13</f>
        <v>25920</v>
      </c>
      <c r="F11" s="13" t="s">
        <v>0</v>
      </c>
      <c r="G11" s="14"/>
      <c r="H11" s="56">
        <v>5977</v>
      </c>
      <c r="I11" s="17">
        <f>H11/A10</f>
        <v>1.7873189169630829E-3</v>
      </c>
      <c r="J11" s="60" t="s">
        <v>22</v>
      </c>
      <c r="K11" s="59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12">
        <f>A10*1000/(365*$D$3)</f>
        <v>276.47059066687558</v>
      </c>
      <c r="B12" s="14" t="s">
        <v>18</v>
      </c>
      <c r="C12" s="12">
        <f>E9+E13</f>
        <v>179.15323045685111</v>
      </c>
      <c r="D12" s="14" t="s">
        <v>18</v>
      </c>
      <c r="E12" s="18">
        <f>(E11*1000/365)/$J$3</f>
        <v>5.504937878305193</v>
      </c>
      <c r="F12" s="13" t="s">
        <v>16</v>
      </c>
      <c r="G12" s="14"/>
      <c r="H12" s="10" t="s">
        <v>46</v>
      </c>
      <c r="I12" s="16" t="s">
        <v>20</v>
      </c>
      <c r="J12" s="60" t="s">
        <v>23</v>
      </c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25">
      <c r="A13" s="15">
        <f>A10*1000/(365*24*3600)</f>
        <v>106.04119101978691</v>
      </c>
      <c r="B13" s="14" t="s">
        <v>24</v>
      </c>
      <c r="C13" s="15">
        <f>C10*1000/(365*24*3600)</f>
        <v>68.714802130898022</v>
      </c>
      <c r="D13" s="14" t="s">
        <v>24</v>
      </c>
      <c r="E13" s="19">
        <f>E11*1000/(365*$D$3)</f>
        <v>2.1429040897473364</v>
      </c>
      <c r="F13" s="13" t="s">
        <v>18</v>
      </c>
      <c r="G13" s="14"/>
      <c r="H13" s="56">
        <v>19943</v>
      </c>
      <c r="I13" s="17">
        <f>H13/A10</f>
        <v>5.9636107011870106E-3</v>
      </c>
      <c r="J13" s="61"/>
      <c r="K13" s="59"/>
      <c r="L13" s="1"/>
      <c r="M13" s="1"/>
      <c r="N13" s="1"/>
      <c r="O13" s="1"/>
      <c r="P13" s="1"/>
      <c r="Q13" s="1"/>
      <c r="R13" s="1"/>
      <c r="S13" s="1"/>
      <c r="T13" s="1"/>
    </row>
    <row r="14" spans="1:20" ht="35.25" customHeight="1" x14ac:dyDescent="0.2">
      <c r="A14" s="20"/>
      <c r="B14" s="21"/>
      <c r="C14" s="134" t="s">
        <v>25</v>
      </c>
      <c r="D14" s="135"/>
      <c r="E14" s="136" t="s">
        <v>26</v>
      </c>
      <c r="F14" s="137"/>
      <c r="G14" s="138"/>
      <c r="H14" s="62" t="s">
        <v>27</v>
      </c>
      <c r="I14" s="63" t="s">
        <v>47</v>
      </c>
      <c r="J14" s="64">
        <f>A10-J8</f>
        <v>1203045</v>
      </c>
      <c r="K14" s="65" t="s">
        <v>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thickBot="1" x14ac:dyDescent="0.25">
      <c r="A15" s="22"/>
      <c r="B15" s="14"/>
      <c r="C15" s="145"/>
      <c r="D15" s="146"/>
      <c r="E15" s="66">
        <f>(E18/1000)*365*J3</f>
        <v>235425</v>
      </c>
      <c r="F15" s="67" t="s">
        <v>0</v>
      </c>
      <c r="G15" s="68"/>
      <c r="H15" s="69"/>
      <c r="I15" s="70"/>
      <c r="J15" s="71">
        <f>(J14*1000/365)/$J$3</f>
        <v>255.50493787830518</v>
      </c>
      <c r="K15" s="65" t="s">
        <v>16</v>
      </c>
      <c r="L15" s="26"/>
      <c r="M15" s="1"/>
      <c r="N15" s="1"/>
      <c r="O15" s="1"/>
      <c r="P15" s="1"/>
      <c r="Q15" s="1"/>
      <c r="R15" s="1"/>
      <c r="S15" s="1"/>
      <c r="T15" s="1"/>
    </row>
    <row r="16" spans="1:20" ht="30" x14ac:dyDescent="0.2">
      <c r="A16" s="22"/>
      <c r="B16" s="14"/>
      <c r="C16" s="72"/>
      <c r="D16" s="73"/>
      <c r="E16" s="74">
        <f>E15/C10</f>
        <v>0.10864147965611286</v>
      </c>
      <c r="F16" s="75" t="s">
        <v>29</v>
      </c>
      <c r="G16" s="68"/>
      <c r="H16" s="76" t="s">
        <v>91</v>
      </c>
      <c r="I16" s="126" t="s">
        <v>28</v>
      </c>
      <c r="J16" s="71">
        <f>J14*1000/(365*$D$3)</f>
        <v>99.460264299771779</v>
      </c>
      <c r="K16" s="65" t="s">
        <v>18</v>
      </c>
      <c r="L16" s="27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22"/>
      <c r="B17" s="14"/>
      <c r="C17" s="72"/>
      <c r="D17" s="73"/>
      <c r="E17" s="78">
        <f>(E15*1000/365)/$D$3</f>
        <v>19.463472042004888</v>
      </c>
      <c r="F17" s="67" t="s">
        <v>18</v>
      </c>
      <c r="G17" s="68"/>
      <c r="H17" s="79"/>
      <c r="I17" s="127"/>
      <c r="J17" s="71">
        <f>J14*1000/(365*24*3600)</f>
        <v>38.148306697108069</v>
      </c>
      <c r="K17" s="65" t="s">
        <v>24</v>
      </c>
      <c r="L17" s="26"/>
      <c r="M17" s="1"/>
      <c r="N17" s="1"/>
      <c r="O17" s="1"/>
      <c r="P17" s="1"/>
      <c r="Q17" s="1"/>
      <c r="R17" s="1"/>
      <c r="S17" s="1"/>
      <c r="T17" s="1"/>
    </row>
    <row r="18" spans="1:20" ht="21.75" customHeight="1" thickBot="1" x14ac:dyDescent="0.25">
      <c r="A18" s="22"/>
      <c r="B18" s="14"/>
      <c r="C18" s="72"/>
      <c r="D18" s="73"/>
      <c r="E18" s="129">
        <v>50</v>
      </c>
      <c r="F18" s="67" t="s">
        <v>16</v>
      </c>
      <c r="G18" s="68"/>
      <c r="H18" s="69"/>
      <c r="I18" s="70"/>
      <c r="J18" s="81"/>
      <c r="K18" s="59"/>
      <c r="L18" s="26"/>
      <c r="M18" s="1"/>
      <c r="N18" s="1"/>
      <c r="O18" s="1"/>
      <c r="P18" s="1"/>
      <c r="Q18" s="1"/>
      <c r="R18" s="1"/>
      <c r="S18" s="1"/>
      <c r="T18" s="1"/>
    </row>
    <row r="19" spans="1:20" ht="15.75" x14ac:dyDescent="0.2">
      <c r="A19" s="22"/>
      <c r="B19" s="14"/>
      <c r="C19" s="72"/>
      <c r="D19" s="73"/>
      <c r="E19" s="150" t="s">
        <v>81</v>
      </c>
      <c r="F19" s="151"/>
      <c r="G19" s="82">
        <f>E15/C20</f>
        <v>0.2</v>
      </c>
      <c r="H19" s="76"/>
      <c r="I19" s="126" t="s">
        <v>28</v>
      </c>
      <c r="J19" s="71"/>
      <c r="K19" s="65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thickBot="1" x14ac:dyDescent="0.25">
      <c r="A20" s="22"/>
      <c r="B20" s="14"/>
      <c r="C20" s="83">
        <f>E15+E23</f>
        <v>1177125</v>
      </c>
      <c r="D20" s="84" t="s">
        <v>0</v>
      </c>
      <c r="E20" s="85"/>
      <c r="F20" s="86"/>
      <c r="G20" s="87"/>
      <c r="H20" s="69"/>
      <c r="I20" s="70"/>
      <c r="J20" s="88">
        <f>J14/A10</f>
        <v>0.359749888984081</v>
      </c>
      <c r="K20" s="89" t="s">
        <v>28</v>
      </c>
      <c r="L20" s="23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">
      <c r="A21" s="22"/>
      <c r="B21" s="14"/>
      <c r="C21" s="90"/>
      <c r="D21" s="84"/>
      <c r="E21" s="147" t="s">
        <v>32</v>
      </c>
      <c r="F21" s="148"/>
      <c r="G21" s="149"/>
      <c r="H21" s="76" t="s">
        <v>33</v>
      </c>
      <c r="I21" s="126" t="s">
        <v>34</v>
      </c>
      <c r="J21" s="88"/>
      <c r="K21" s="59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thickBot="1" x14ac:dyDescent="0.25">
      <c r="A22" s="22"/>
      <c r="B22" s="14"/>
      <c r="C22" s="90">
        <f>(C20*1000/365)/$J$3</f>
        <v>250</v>
      </c>
      <c r="D22" s="84" t="s">
        <v>16</v>
      </c>
      <c r="E22" s="147"/>
      <c r="F22" s="148"/>
      <c r="G22" s="149"/>
      <c r="H22" s="69">
        <f>E23*0.85</f>
        <v>800445</v>
      </c>
      <c r="I22" s="91"/>
      <c r="J22" s="92"/>
      <c r="K22" s="59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">
      <c r="A23" s="22"/>
      <c r="B23" s="14"/>
      <c r="C23" s="83">
        <f>A12-C12</f>
        <v>97.317360210024475</v>
      </c>
      <c r="D23" s="84" t="s">
        <v>18</v>
      </c>
      <c r="E23" s="93">
        <f>(E24/1000)*365*J3</f>
        <v>941700</v>
      </c>
      <c r="F23" s="67" t="s">
        <v>35</v>
      </c>
      <c r="G23" s="94"/>
      <c r="H23" s="76" t="s">
        <v>36</v>
      </c>
      <c r="I23" s="126" t="s">
        <v>34</v>
      </c>
      <c r="J23" s="92"/>
      <c r="K23" s="59"/>
      <c r="L23" s="1"/>
      <c r="M23" s="1"/>
      <c r="N23" s="1"/>
      <c r="O23" s="1"/>
      <c r="P23" s="1"/>
      <c r="Q23" s="1"/>
      <c r="R23" s="1"/>
      <c r="S23" s="1"/>
      <c r="T23" s="1"/>
    </row>
    <row r="24" spans="1:20" ht="28.5" thickBot="1" x14ac:dyDescent="0.25">
      <c r="A24" s="22"/>
      <c r="B24" s="14"/>
      <c r="C24" s="95">
        <f>C20*100/A10</f>
        <v>35.199895936593087</v>
      </c>
      <c r="D24" s="73" t="s">
        <v>28</v>
      </c>
      <c r="E24" s="129">
        <v>200</v>
      </c>
      <c r="F24" s="67" t="s">
        <v>16</v>
      </c>
      <c r="G24" s="97" t="s">
        <v>37</v>
      </c>
      <c r="H24" s="69">
        <f>0.14*E23</f>
        <v>131838</v>
      </c>
      <c r="I24" s="91"/>
      <c r="J24" s="92"/>
      <c r="K24" s="59"/>
      <c r="L24" s="1"/>
      <c r="M24" s="1"/>
      <c r="N24" s="1"/>
      <c r="O24" s="1"/>
      <c r="P24" s="1"/>
      <c r="Q24" s="1"/>
      <c r="R24" s="1"/>
      <c r="S24" s="1"/>
      <c r="T24" s="1"/>
    </row>
    <row r="25" spans="1:20" ht="33.75" customHeight="1" x14ac:dyDescent="0.2">
      <c r="A25" s="22"/>
      <c r="B25" s="14"/>
      <c r="C25" s="72"/>
      <c r="D25" s="73"/>
      <c r="E25" s="98">
        <f>E23/(365*J5)/H27</f>
        <v>0.78467153284671531</v>
      </c>
      <c r="F25" s="99" t="s">
        <v>38</v>
      </c>
      <c r="G25" s="97" t="s">
        <v>37</v>
      </c>
      <c r="H25" s="76" t="s">
        <v>39</v>
      </c>
      <c r="I25" s="126" t="s">
        <v>34</v>
      </c>
      <c r="J25" s="92"/>
      <c r="K25" s="59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25">
      <c r="A26" s="24"/>
      <c r="B26" s="25"/>
      <c r="C26" s="100"/>
      <c r="D26" s="101"/>
      <c r="E26" s="102">
        <f>E23/A10</f>
        <v>0.28159916749274472</v>
      </c>
      <c r="F26" s="103" t="s">
        <v>20</v>
      </c>
      <c r="G26" s="104"/>
      <c r="H26" s="105">
        <f>0.01*E23</f>
        <v>9417</v>
      </c>
      <c r="I26" s="106"/>
      <c r="J26" s="107"/>
      <c r="K26" s="10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">
      <c r="A27" s="1"/>
      <c r="B27" s="1"/>
      <c r="C27" s="139" t="s">
        <v>40</v>
      </c>
      <c r="D27" s="139"/>
      <c r="E27" s="139"/>
      <c r="F27" s="140"/>
      <c r="G27" s="109" t="s">
        <v>41</v>
      </c>
      <c r="H27" s="110">
        <v>137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75" customHeight="1" x14ac:dyDescent="0.35">
      <c r="A28" s="111" t="s">
        <v>82</v>
      </c>
      <c r="B28" s="47"/>
      <c r="C28" s="112"/>
      <c r="D28" s="47"/>
      <c r="E28" s="47"/>
      <c r="F28" s="47"/>
      <c r="G28" s="47"/>
      <c r="H28" s="47"/>
      <c r="I28" s="47"/>
      <c r="J28" s="47"/>
      <c r="K28" s="48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41"/>
      <c r="B29" s="141" t="s">
        <v>83</v>
      </c>
      <c r="C29" s="141"/>
      <c r="D29" s="141"/>
      <c r="E29" s="113">
        <v>29</v>
      </c>
      <c r="F29" s="114"/>
      <c r="G29" s="115"/>
      <c r="H29" s="115"/>
      <c r="I29" s="115"/>
      <c r="J29" s="115"/>
      <c r="K29" s="116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15"/>
      <c r="B30" s="141" t="s">
        <v>84</v>
      </c>
      <c r="C30" s="141"/>
      <c r="D30" s="141"/>
      <c r="E30" s="117">
        <f>(0.8*J3+25*H27)*E29*(365/1000)</f>
        <v>145490.82499999998</v>
      </c>
      <c r="F30" s="114"/>
      <c r="G30" s="115"/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18"/>
      <c r="B31" s="141" t="s">
        <v>85</v>
      </c>
      <c r="C31" s="141"/>
      <c r="D31" s="141"/>
      <c r="E31" s="119">
        <f>E23/E30</f>
        <v>6.4725730986816528</v>
      </c>
      <c r="F31" s="114"/>
      <c r="G31" s="115"/>
      <c r="H31" s="115"/>
      <c r="I31" s="115"/>
      <c r="J31" s="115"/>
      <c r="K31" s="116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20"/>
      <c r="B32" s="121"/>
      <c r="C32" s="122"/>
      <c r="D32" s="121"/>
      <c r="E32" s="121"/>
      <c r="F32" s="121"/>
      <c r="G32" s="121"/>
      <c r="H32" s="121"/>
      <c r="I32" s="121"/>
      <c r="J32" s="121"/>
      <c r="K32" s="123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 x14ac:dyDescent="0.2">
      <c r="A33" s="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">
        <v>1</v>
      </c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9">
        <v>2</v>
      </c>
      <c r="B35" s="133" t="s">
        <v>44</v>
      </c>
      <c r="C35" s="133"/>
      <c r="D35" s="133"/>
      <c r="E35" s="133"/>
      <c r="F35" s="133"/>
      <c r="G35" s="133"/>
      <c r="H35" s="133"/>
      <c r="I35" s="133"/>
      <c r="J35" s="1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>
        <v>3</v>
      </c>
      <c r="B36" s="133" t="s">
        <v>45</v>
      </c>
      <c r="C36" s="133"/>
      <c r="D36" s="133"/>
      <c r="E36" s="133"/>
      <c r="F36" s="133"/>
      <c r="G36" s="133"/>
      <c r="H36" s="133"/>
      <c r="I36" s="133"/>
      <c r="J36" s="13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>
        <v>4</v>
      </c>
      <c r="B37" s="124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6">
    <mergeCell ref="A1:C1"/>
    <mergeCell ref="D1:F1"/>
    <mergeCell ref="A2:J2"/>
    <mergeCell ref="A3:C3"/>
    <mergeCell ref="D3:E3"/>
    <mergeCell ref="F3:I3"/>
    <mergeCell ref="E21:G22"/>
    <mergeCell ref="A5:C5"/>
    <mergeCell ref="D5:E5"/>
    <mergeCell ref="F5:I5"/>
    <mergeCell ref="A6:B9"/>
    <mergeCell ref="C6:D9"/>
    <mergeCell ref="E6:G6"/>
    <mergeCell ref="I7:I9"/>
    <mergeCell ref="E10:G10"/>
    <mergeCell ref="C14:D14"/>
    <mergeCell ref="E14:G14"/>
    <mergeCell ref="C15:D15"/>
    <mergeCell ref="E19:F19"/>
    <mergeCell ref="B36:J36"/>
    <mergeCell ref="C27:F27"/>
    <mergeCell ref="B29:D29"/>
    <mergeCell ref="B30:D30"/>
    <mergeCell ref="B31:D31"/>
    <mergeCell ref="B34:J34"/>
    <mergeCell ref="B35:J35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zoomScale="145" zoomScaleNormal="145" workbookViewId="0">
      <selection activeCell="D4" sqref="D4:D8"/>
    </sheetView>
  </sheetViews>
  <sheetFormatPr defaultRowHeight="12.75" x14ac:dyDescent="0.2"/>
  <cols>
    <col min="2" max="3" width="13.42578125" customWidth="1"/>
  </cols>
  <sheetData>
    <row r="2" spans="1:4" x14ac:dyDescent="0.2">
      <c r="A2" s="46" t="s">
        <v>78</v>
      </c>
      <c r="B2" s="47"/>
      <c r="C2" s="47"/>
      <c r="D2" s="48"/>
    </row>
    <row r="3" spans="1:4" ht="25.5" x14ac:dyDescent="0.2">
      <c r="A3" s="43" t="s">
        <v>79</v>
      </c>
      <c r="B3" s="4" t="s">
        <v>1</v>
      </c>
      <c r="C3" s="43" t="s">
        <v>77</v>
      </c>
      <c r="D3" s="4" t="s">
        <v>2</v>
      </c>
    </row>
    <row r="4" spans="1:4" ht="15" x14ac:dyDescent="0.2">
      <c r="A4" s="125" t="s">
        <v>87</v>
      </c>
      <c r="B4" s="38">
        <v>3087</v>
      </c>
      <c r="C4" s="44">
        <v>23</v>
      </c>
      <c r="D4" s="177">
        <f>(B4*C4+B5*C5+B6*C6+B7*C7+B8*C8)/B9</f>
        <v>28.703933649289098</v>
      </c>
    </row>
    <row r="5" spans="1:4" ht="15" x14ac:dyDescent="0.2">
      <c r="A5" s="125" t="s">
        <v>88</v>
      </c>
      <c r="B5" s="38">
        <v>2560</v>
      </c>
      <c r="C5" s="44">
        <v>27</v>
      </c>
      <c r="D5" s="178"/>
    </row>
    <row r="6" spans="1:4" ht="15" x14ac:dyDescent="0.2">
      <c r="A6" s="125" t="s">
        <v>89</v>
      </c>
      <c r="B6" s="38">
        <v>4150</v>
      </c>
      <c r="C6" s="44">
        <v>32</v>
      </c>
      <c r="D6" s="178"/>
    </row>
    <row r="7" spans="1:4" ht="15" x14ac:dyDescent="0.2">
      <c r="A7" s="125" t="s">
        <v>90</v>
      </c>
      <c r="B7" s="38">
        <v>2863</v>
      </c>
      <c r="C7" s="44">
        <v>31.6</v>
      </c>
      <c r="D7" s="178"/>
    </row>
    <row r="8" spans="1:4" x14ac:dyDescent="0.2">
      <c r="A8" s="45"/>
      <c r="B8" s="42"/>
      <c r="C8" s="44"/>
      <c r="D8" s="179"/>
    </row>
    <row r="9" spans="1:4" x14ac:dyDescent="0.2">
      <c r="A9" s="8" t="s">
        <v>3</v>
      </c>
      <c r="B9" s="7">
        <f>SUM(B4:B8)</f>
        <v>12660</v>
      </c>
      <c r="C9" s="6"/>
      <c r="D9" s="2"/>
    </row>
  </sheetData>
  <mergeCells count="1">
    <mergeCell ref="D4:D8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9" workbookViewId="0">
      <selection activeCell="F22" sqref="F22"/>
    </sheetView>
  </sheetViews>
  <sheetFormatPr defaultRowHeight="12.75" x14ac:dyDescent="0.2"/>
  <cols>
    <col min="1" max="1" width="15.42578125" customWidth="1"/>
    <col min="2" max="2" width="10.5703125" customWidth="1"/>
    <col min="3" max="3" width="13" bestFit="1" customWidth="1"/>
    <col min="4" max="4" width="18.140625" bestFit="1" customWidth="1"/>
    <col min="5" max="5" width="17.140625" bestFit="1" customWidth="1"/>
    <col min="6" max="6" width="12.85546875" bestFit="1" customWidth="1"/>
    <col min="7" max="7" width="14.5703125" style="30" bestFit="1" customWidth="1"/>
    <col min="8" max="8" width="11.140625" style="30" hidden="1" customWidth="1"/>
    <col min="9" max="9" width="14.28515625" style="30" customWidth="1"/>
    <col min="10" max="10" width="11.5703125" style="30" bestFit="1" customWidth="1"/>
    <col min="11" max="11" width="14" style="30" customWidth="1"/>
    <col min="12" max="12" width="17.140625" style="30" bestFit="1" customWidth="1"/>
    <col min="13" max="13" width="11.5703125" bestFit="1" customWidth="1"/>
    <col min="14" max="14" width="10.5703125" customWidth="1"/>
  </cols>
  <sheetData>
    <row r="1" spans="1:14" s="29" customFormat="1" ht="72.75" customHeight="1" x14ac:dyDescent="0.2">
      <c r="A1" s="31" t="s">
        <v>48</v>
      </c>
      <c r="B1" s="31" t="s">
        <v>49</v>
      </c>
      <c r="C1" s="32" t="s">
        <v>72</v>
      </c>
      <c r="D1" s="32" t="s">
        <v>73</v>
      </c>
      <c r="E1" s="32" t="s">
        <v>74</v>
      </c>
      <c r="F1" s="32" t="s">
        <v>75</v>
      </c>
      <c r="G1" s="32" t="s">
        <v>50</v>
      </c>
      <c r="H1" s="32" t="s">
        <v>51</v>
      </c>
      <c r="I1" s="32" t="s">
        <v>68</v>
      </c>
      <c r="J1" s="32" t="s">
        <v>69</v>
      </c>
      <c r="K1" s="32" t="s">
        <v>70</v>
      </c>
      <c r="L1" s="32" t="s">
        <v>52</v>
      </c>
      <c r="M1" s="33" t="s">
        <v>53</v>
      </c>
      <c r="N1" s="40" t="s">
        <v>71</v>
      </c>
    </row>
    <row r="2" spans="1:14" ht="15" x14ac:dyDescent="0.25">
      <c r="A2" s="34">
        <v>1</v>
      </c>
      <c r="B2" s="34" t="s">
        <v>54</v>
      </c>
      <c r="C2" s="34">
        <v>67.790000000000006</v>
      </c>
      <c r="D2" s="38">
        <v>4909</v>
      </c>
      <c r="E2" s="38">
        <v>11353</v>
      </c>
      <c r="F2" s="34">
        <v>1.49</v>
      </c>
      <c r="G2" s="35">
        <v>1380700</v>
      </c>
      <c r="H2" s="35"/>
      <c r="I2" s="35">
        <v>635280</v>
      </c>
      <c r="J2" s="35">
        <v>4903.5</v>
      </c>
      <c r="K2" s="35">
        <v>2761.4</v>
      </c>
      <c r="L2" s="36">
        <v>24</v>
      </c>
      <c r="M2" s="37">
        <v>33</v>
      </c>
      <c r="N2" s="35">
        <v>30</v>
      </c>
    </row>
    <row r="3" spans="1:14" ht="15" x14ac:dyDescent="0.25">
      <c r="A3" s="34">
        <v>2</v>
      </c>
      <c r="B3" s="34" t="s">
        <v>55</v>
      </c>
      <c r="C3" s="34">
        <v>38.61</v>
      </c>
      <c r="D3" s="38">
        <v>5089</v>
      </c>
      <c r="E3" s="38">
        <v>13717</v>
      </c>
      <c r="F3" s="34">
        <v>1.55</v>
      </c>
      <c r="G3" s="35">
        <v>1365670</v>
      </c>
      <c r="H3" s="35"/>
      <c r="I3" s="35">
        <v>653010</v>
      </c>
      <c r="J3" s="35">
        <v>6828.35</v>
      </c>
      <c r="K3" s="35">
        <v>2731.34</v>
      </c>
      <c r="L3" s="36">
        <v>23.706849315068492</v>
      </c>
      <c r="M3" s="37">
        <v>40</v>
      </c>
      <c r="N3" s="35">
        <v>30</v>
      </c>
    </row>
    <row r="4" spans="1:14" ht="15" x14ac:dyDescent="0.25">
      <c r="A4" s="34">
        <v>3</v>
      </c>
      <c r="B4" s="34" t="s">
        <v>56</v>
      </c>
      <c r="C4" s="34">
        <v>136.63</v>
      </c>
      <c r="D4" s="38">
        <v>12660</v>
      </c>
      <c r="E4" s="38">
        <v>33139</v>
      </c>
      <c r="F4" s="34">
        <v>1.6</v>
      </c>
      <c r="G4" s="35">
        <v>2988520</v>
      </c>
      <c r="H4" s="35"/>
      <c r="I4" s="35">
        <v>2141070</v>
      </c>
      <c r="J4" s="35">
        <v>14942.6</v>
      </c>
      <c r="K4" s="35">
        <v>5977.04</v>
      </c>
      <c r="L4" s="36">
        <v>24</v>
      </c>
      <c r="M4" s="37">
        <v>39</v>
      </c>
      <c r="N4" s="35">
        <v>30</v>
      </c>
    </row>
    <row r="5" spans="1:14" ht="15" x14ac:dyDescent="0.25">
      <c r="A5" s="34">
        <v>4</v>
      </c>
      <c r="B5" s="34" t="s">
        <v>57</v>
      </c>
      <c r="C5" s="34">
        <v>133.66999999999999</v>
      </c>
      <c r="D5" s="38">
        <v>11075</v>
      </c>
      <c r="E5" s="38">
        <v>34687</v>
      </c>
      <c r="F5" s="34">
        <v>1.71</v>
      </c>
      <c r="G5" s="35">
        <v>2986600</v>
      </c>
      <c r="H5" s="35"/>
      <c r="I5" s="35">
        <v>1754160</v>
      </c>
      <c r="J5" s="35">
        <v>14933</v>
      </c>
      <c r="K5" s="35">
        <v>5973.2</v>
      </c>
      <c r="L5" s="36">
        <v>23.780821917808218</v>
      </c>
      <c r="M5" s="37">
        <v>26</v>
      </c>
      <c r="N5" s="35">
        <v>30</v>
      </c>
    </row>
    <row r="6" spans="1:14" ht="15" x14ac:dyDescent="0.25">
      <c r="A6" s="34">
        <v>5</v>
      </c>
      <c r="B6" s="34" t="s">
        <v>58</v>
      </c>
      <c r="C6" s="34">
        <v>162.63999999999999</v>
      </c>
      <c r="D6" s="38">
        <v>13448</v>
      </c>
      <c r="E6" s="38">
        <v>36256</v>
      </c>
      <c r="F6" s="34">
        <v>1.62</v>
      </c>
      <c r="G6" s="35">
        <v>3963320</v>
      </c>
      <c r="H6" s="35"/>
      <c r="I6" s="35">
        <v>2094520</v>
      </c>
      <c r="J6" s="35">
        <v>19816.600000000002</v>
      </c>
      <c r="K6" s="35">
        <v>7926.64</v>
      </c>
      <c r="L6" s="36">
        <v>24</v>
      </c>
      <c r="M6" s="37">
        <v>23</v>
      </c>
      <c r="N6" s="35">
        <v>30</v>
      </c>
    </row>
    <row r="7" spans="1:14" ht="15" x14ac:dyDescent="0.25">
      <c r="A7" s="34">
        <v>6</v>
      </c>
      <c r="B7" s="34" t="s">
        <v>59</v>
      </c>
      <c r="C7" s="34">
        <v>172.58</v>
      </c>
      <c r="D7" s="38">
        <v>15685</v>
      </c>
      <c r="E7" s="38">
        <v>43835</v>
      </c>
      <c r="F7" s="34">
        <v>1.58</v>
      </c>
      <c r="G7" s="35">
        <v>4135229.9999999995</v>
      </c>
      <c r="H7" s="35"/>
      <c r="I7" s="35">
        <v>2281350</v>
      </c>
      <c r="J7" s="35">
        <v>20676.149999999998</v>
      </c>
      <c r="K7" s="35">
        <v>8270.4599999999991</v>
      </c>
      <c r="L7" s="36">
        <v>24</v>
      </c>
      <c r="M7" s="37">
        <v>38</v>
      </c>
      <c r="N7" s="35">
        <v>30</v>
      </c>
    </row>
    <row r="8" spans="1:14" ht="15" x14ac:dyDescent="0.25">
      <c r="A8" s="34">
        <v>7</v>
      </c>
      <c r="B8" s="34" t="s">
        <v>60</v>
      </c>
      <c r="C8" s="34">
        <v>292.3</v>
      </c>
      <c r="D8" s="38">
        <v>15032</v>
      </c>
      <c r="E8" s="38">
        <v>31199</v>
      </c>
      <c r="F8" s="34">
        <v>2.13</v>
      </c>
      <c r="G8" s="35">
        <v>5897360</v>
      </c>
      <c r="H8" s="35"/>
      <c r="I8" s="35">
        <v>2943760</v>
      </c>
      <c r="J8" s="35">
        <v>29486.799999999999</v>
      </c>
      <c r="K8" s="35">
        <v>11794.72</v>
      </c>
      <c r="L8" s="36">
        <v>24</v>
      </c>
      <c r="M8" s="37">
        <v>24</v>
      </c>
      <c r="N8" s="35">
        <v>30</v>
      </c>
    </row>
    <row r="9" spans="1:14" ht="15" x14ac:dyDescent="0.25">
      <c r="A9" s="34">
        <v>8</v>
      </c>
      <c r="B9" s="34" t="s">
        <v>61</v>
      </c>
      <c r="C9" s="34">
        <v>223.85</v>
      </c>
      <c r="D9" s="38">
        <v>18084</v>
      </c>
      <c r="E9" s="38">
        <v>45618</v>
      </c>
      <c r="F9" s="34">
        <v>1.53</v>
      </c>
      <c r="G9" s="35">
        <v>4121170</v>
      </c>
      <c r="H9" s="35"/>
      <c r="I9" s="35">
        <v>2735470</v>
      </c>
      <c r="J9" s="35">
        <v>20605.850000000002</v>
      </c>
      <c r="K9" s="35">
        <v>8242.34</v>
      </c>
      <c r="L9" s="36">
        <v>23</v>
      </c>
      <c r="M9" s="37">
        <v>20</v>
      </c>
      <c r="N9" s="35">
        <v>30</v>
      </c>
    </row>
    <row r="10" spans="1:14" ht="15" x14ac:dyDescent="0.25">
      <c r="A10" s="34">
        <v>9</v>
      </c>
      <c r="B10" s="34" t="s">
        <v>62</v>
      </c>
      <c r="C10" s="34">
        <v>275.62</v>
      </c>
      <c r="D10" s="38">
        <v>23917</v>
      </c>
      <c r="E10" s="38">
        <v>62879</v>
      </c>
      <c r="F10" s="34">
        <v>1.57</v>
      </c>
      <c r="G10" s="35">
        <v>6351730</v>
      </c>
      <c r="H10" s="35"/>
      <c r="I10" s="35">
        <v>4062580</v>
      </c>
      <c r="J10" s="35">
        <v>31758.65</v>
      </c>
      <c r="K10" s="35">
        <v>12703.460000000001</v>
      </c>
      <c r="L10" s="36">
        <v>24</v>
      </c>
      <c r="M10" s="37">
        <v>18</v>
      </c>
      <c r="N10" s="35">
        <v>30</v>
      </c>
    </row>
    <row r="11" spans="1:14" ht="15" x14ac:dyDescent="0.25">
      <c r="A11" s="34">
        <v>10</v>
      </c>
      <c r="B11" s="34" t="s">
        <v>63</v>
      </c>
      <c r="C11" s="34">
        <v>230.15</v>
      </c>
      <c r="D11" s="38">
        <v>26329</v>
      </c>
      <c r="E11" s="38">
        <v>68033</v>
      </c>
      <c r="F11" s="34">
        <v>1.45</v>
      </c>
      <c r="G11" s="35">
        <v>6929690</v>
      </c>
      <c r="H11" s="35"/>
      <c r="I11" s="35">
        <v>4716270</v>
      </c>
      <c r="J11" s="35">
        <v>34648.449999999997</v>
      </c>
      <c r="K11" s="35">
        <v>13859.380000000001</v>
      </c>
      <c r="L11" s="36">
        <v>24</v>
      </c>
      <c r="M11" s="37">
        <v>26</v>
      </c>
      <c r="N11" s="35">
        <v>30</v>
      </c>
    </row>
    <row r="12" spans="1:14" ht="15" x14ac:dyDescent="0.25">
      <c r="A12" s="34">
        <v>11</v>
      </c>
      <c r="B12" s="34" t="s">
        <v>64</v>
      </c>
      <c r="C12" s="34">
        <v>276.88</v>
      </c>
      <c r="D12" s="38">
        <v>26050</v>
      </c>
      <c r="E12" s="38">
        <v>74869</v>
      </c>
      <c r="F12" s="34">
        <v>1.7</v>
      </c>
      <c r="G12" s="35">
        <v>7378840</v>
      </c>
      <c r="H12" s="35"/>
      <c r="I12" s="35">
        <v>4128069.9999999995</v>
      </c>
      <c r="J12" s="35">
        <v>36894.200000000004</v>
      </c>
      <c r="K12" s="35">
        <v>14757.68</v>
      </c>
      <c r="L12" s="36">
        <v>24</v>
      </c>
      <c r="M12" s="37">
        <v>21</v>
      </c>
      <c r="N12" s="35">
        <v>30</v>
      </c>
    </row>
    <row r="13" spans="1:14" ht="15" x14ac:dyDescent="0.25">
      <c r="A13" s="34">
        <v>12</v>
      </c>
      <c r="B13" s="34" t="s">
        <v>65</v>
      </c>
      <c r="C13" s="34">
        <v>255.16</v>
      </c>
      <c r="D13" s="38">
        <v>27825</v>
      </c>
      <c r="E13" s="38">
        <v>79678</v>
      </c>
      <c r="F13" s="34">
        <v>1.5</v>
      </c>
      <c r="G13" s="35">
        <v>9177040</v>
      </c>
      <c r="H13" s="35"/>
      <c r="I13" s="35">
        <v>4125210</v>
      </c>
      <c r="J13" s="35">
        <v>45885.200000000004</v>
      </c>
      <c r="K13" s="35">
        <v>18354.080000000002</v>
      </c>
      <c r="L13" s="36">
        <v>24</v>
      </c>
      <c r="M13" s="37">
        <v>26</v>
      </c>
      <c r="N13" s="35">
        <v>30</v>
      </c>
    </row>
    <row r="14" spans="1:14" ht="15" x14ac:dyDescent="0.25">
      <c r="A14" s="34">
        <v>13</v>
      </c>
      <c r="B14" s="34" t="s">
        <v>66</v>
      </c>
      <c r="C14" s="34">
        <v>491.21</v>
      </c>
      <c r="D14" s="38">
        <v>45157</v>
      </c>
      <c r="E14" s="38">
        <v>137351</v>
      </c>
      <c r="F14" s="34">
        <v>1.69</v>
      </c>
      <c r="G14" s="35">
        <v>19203000</v>
      </c>
      <c r="H14" s="35"/>
      <c r="I14" s="35">
        <v>7046610</v>
      </c>
      <c r="J14" s="35">
        <v>96015</v>
      </c>
      <c r="K14" s="35">
        <v>38406</v>
      </c>
      <c r="L14" s="36">
        <v>24</v>
      </c>
      <c r="M14" s="37">
        <v>28</v>
      </c>
      <c r="N14" s="35">
        <v>30</v>
      </c>
    </row>
    <row r="15" spans="1:14" ht="15" x14ac:dyDescent="0.25">
      <c r="A15" s="34">
        <v>14</v>
      </c>
      <c r="B15" s="34" t="s">
        <v>67</v>
      </c>
      <c r="C15" s="34">
        <v>1007.56</v>
      </c>
      <c r="D15" s="38">
        <v>170691</v>
      </c>
      <c r="E15" s="38">
        <v>563214</v>
      </c>
      <c r="F15" s="39">
        <v>1.74</v>
      </c>
      <c r="G15" s="35">
        <v>68337930</v>
      </c>
      <c r="H15" s="35"/>
      <c r="I15" s="35">
        <v>33547170</v>
      </c>
      <c r="J15" s="35">
        <v>341689.65</v>
      </c>
      <c r="K15" s="35">
        <v>136675.86000000002</v>
      </c>
      <c r="L15" s="36">
        <v>24</v>
      </c>
      <c r="M15" s="37">
        <v>31</v>
      </c>
      <c r="N15" s="35">
        <v>30</v>
      </c>
    </row>
    <row r="16" spans="1:14" ht="15" x14ac:dyDescent="0.25">
      <c r="A16" s="34">
        <v>15</v>
      </c>
      <c r="B16" s="34" t="s">
        <v>54</v>
      </c>
      <c r="C16" s="39">
        <v>595.987142857143</v>
      </c>
      <c r="D16" s="38">
        <v>77997.219780219704</v>
      </c>
      <c r="E16" s="38">
        <v>244285.42857142899</v>
      </c>
      <c r="F16" s="39">
        <v>1.6714285714285699</v>
      </c>
      <c r="G16" s="35">
        <v>29763872.637362603</v>
      </c>
      <c r="H16" s="35"/>
      <c r="I16" s="35">
        <v>14285427.142857099</v>
      </c>
      <c r="J16" s="35">
        <v>148819.36318681302</v>
      </c>
      <c r="K16" s="35">
        <v>59527.74527472521</v>
      </c>
      <c r="L16" s="36">
        <v>23.997260273972604</v>
      </c>
      <c r="M16" s="37">
        <v>20</v>
      </c>
      <c r="N16" s="35">
        <v>30</v>
      </c>
    </row>
    <row r="17" spans="1:14" ht="15" x14ac:dyDescent="0.25">
      <c r="A17" s="34">
        <v>16</v>
      </c>
      <c r="B17" s="34" t="s">
        <v>55</v>
      </c>
      <c r="C17" s="39">
        <v>639.59828571428602</v>
      </c>
      <c r="D17" s="38">
        <v>84435.410989010998</v>
      </c>
      <c r="E17" s="38">
        <v>265087.02857142902</v>
      </c>
      <c r="F17" s="39">
        <v>1.6765714285714299</v>
      </c>
      <c r="G17" s="35">
        <v>29812228.989011001</v>
      </c>
      <c r="H17" s="35"/>
      <c r="I17" s="35">
        <v>15496202.8571428</v>
      </c>
      <c r="J17" s="35">
        <v>149061.14494505501</v>
      </c>
      <c r="K17" s="35">
        <v>59624.457978022001</v>
      </c>
      <c r="L17" s="36">
        <v>22</v>
      </c>
      <c r="M17" s="37">
        <v>39</v>
      </c>
      <c r="N17" s="35">
        <v>30</v>
      </c>
    </row>
    <row r="18" spans="1:14" ht="15" x14ac:dyDescent="0.25">
      <c r="A18" s="34">
        <v>17</v>
      </c>
      <c r="B18" s="34" t="s">
        <v>56</v>
      </c>
      <c r="C18" s="39">
        <v>683.20942857142904</v>
      </c>
      <c r="D18" s="38">
        <v>90873.602197801898</v>
      </c>
      <c r="E18" s="38">
        <v>285888.628571429</v>
      </c>
      <c r="F18" s="39">
        <v>1.6817142857142899</v>
      </c>
      <c r="G18" s="35">
        <v>35860585.340659298</v>
      </c>
      <c r="H18" s="35"/>
      <c r="I18" s="35">
        <v>16706978.571428498</v>
      </c>
      <c r="J18" s="35">
        <v>179302.92670329649</v>
      </c>
      <c r="K18" s="35">
        <v>71721.170681318603</v>
      </c>
      <c r="L18" s="36">
        <v>21</v>
      </c>
      <c r="M18" s="37">
        <v>28</v>
      </c>
      <c r="N18" s="35">
        <v>30</v>
      </c>
    </row>
    <row r="19" spans="1:14" ht="15" x14ac:dyDescent="0.25">
      <c r="A19" s="34">
        <v>18</v>
      </c>
      <c r="B19" s="34" t="s">
        <v>57</v>
      </c>
      <c r="C19" s="39">
        <v>726.82057142857104</v>
      </c>
      <c r="D19" s="38">
        <v>97311.793406593803</v>
      </c>
      <c r="E19" s="38">
        <v>306690.22857142898</v>
      </c>
      <c r="F19" s="39">
        <v>1.6868571428571399</v>
      </c>
      <c r="G19" s="35">
        <v>39908000</v>
      </c>
      <c r="H19" s="35"/>
      <c r="I19" s="35">
        <v>17917754.285714202</v>
      </c>
      <c r="J19" s="35">
        <v>199540</v>
      </c>
      <c r="K19" s="35">
        <v>79816</v>
      </c>
      <c r="L19" s="36">
        <v>24</v>
      </c>
      <c r="M19" s="37">
        <v>22</v>
      </c>
      <c r="N19" s="35">
        <v>30</v>
      </c>
    </row>
    <row r="20" spans="1:14" ht="15" x14ac:dyDescent="0.25">
      <c r="A20" s="34">
        <v>19</v>
      </c>
      <c r="B20" s="34" t="s">
        <v>58</v>
      </c>
      <c r="C20" s="39">
        <v>770.43171428571395</v>
      </c>
      <c r="D20" s="38">
        <v>103749.98461538499</v>
      </c>
      <c r="E20" s="38">
        <v>327491.82857142901</v>
      </c>
      <c r="F20" s="39">
        <v>1.6919999999999999</v>
      </c>
      <c r="G20" s="35">
        <v>39957000</v>
      </c>
      <c r="H20" s="35"/>
      <c r="I20" s="35">
        <v>19128529.999999899</v>
      </c>
      <c r="J20" s="35">
        <v>199785</v>
      </c>
      <c r="K20" s="35">
        <v>79914</v>
      </c>
      <c r="L20" s="36">
        <v>23</v>
      </c>
      <c r="M20" s="37">
        <v>21</v>
      </c>
      <c r="N20" s="35">
        <v>30</v>
      </c>
    </row>
    <row r="21" spans="1:14" ht="15" x14ac:dyDescent="0.25">
      <c r="A21" s="34">
        <v>20</v>
      </c>
      <c r="B21" s="34" t="s">
        <v>59</v>
      </c>
      <c r="C21" s="39">
        <v>814.04285714285697</v>
      </c>
      <c r="D21" s="38">
        <v>110188.175824176</v>
      </c>
      <c r="E21" s="38">
        <v>348293.42857142899</v>
      </c>
      <c r="F21" s="39">
        <v>1.69714285714286</v>
      </c>
      <c r="G21" s="35">
        <v>44005000</v>
      </c>
      <c r="H21" s="35"/>
      <c r="I21" s="35">
        <v>20339305.714285702</v>
      </c>
      <c r="J21" s="35">
        <v>220025</v>
      </c>
      <c r="K21" s="35">
        <v>88010</v>
      </c>
      <c r="L21" s="36">
        <v>24</v>
      </c>
      <c r="M21" s="37">
        <v>24</v>
      </c>
      <c r="N21" s="35">
        <v>30</v>
      </c>
    </row>
    <row r="22" spans="1:14" ht="15" x14ac:dyDescent="0.25">
      <c r="A22" s="34">
        <v>21</v>
      </c>
      <c r="B22" s="34" t="s">
        <v>60</v>
      </c>
      <c r="C22" s="39">
        <v>857.654</v>
      </c>
      <c r="D22" s="38">
        <v>116626.367032967</v>
      </c>
      <c r="E22" s="38">
        <v>369095.02857142902</v>
      </c>
      <c r="F22" s="39">
        <v>1.70228571428571</v>
      </c>
      <c r="G22" s="35">
        <v>46054000</v>
      </c>
      <c r="H22" s="35"/>
      <c r="I22" s="35">
        <v>21550081.428571399</v>
      </c>
      <c r="J22" s="35">
        <v>230270</v>
      </c>
      <c r="K22" s="35">
        <v>92108</v>
      </c>
      <c r="L22" s="36">
        <v>24</v>
      </c>
      <c r="M22" s="37">
        <v>18</v>
      </c>
      <c r="N22" s="35">
        <v>30</v>
      </c>
    </row>
    <row r="23" spans="1:14" ht="15" x14ac:dyDescent="0.25">
      <c r="A23" s="34">
        <v>22</v>
      </c>
      <c r="B23" s="34" t="s">
        <v>61</v>
      </c>
      <c r="C23" s="39">
        <v>901.26514285714302</v>
      </c>
      <c r="D23" s="38">
        <v>123064.558241758</v>
      </c>
      <c r="E23" s="38">
        <v>389896.628571429</v>
      </c>
      <c r="F23" s="39">
        <v>1.70742857142857</v>
      </c>
      <c r="G23" s="35">
        <v>48102000</v>
      </c>
      <c r="H23" s="35"/>
      <c r="I23" s="35">
        <v>22760857.142857101</v>
      </c>
      <c r="J23" s="35">
        <v>240510</v>
      </c>
      <c r="K23" s="35">
        <v>96204</v>
      </c>
      <c r="L23" s="36">
        <v>24</v>
      </c>
      <c r="M23" s="37">
        <v>35</v>
      </c>
      <c r="N23" s="35">
        <v>30</v>
      </c>
    </row>
    <row r="24" spans="1:14" ht="15" x14ac:dyDescent="0.25">
      <c r="A24" s="34">
        <v>23</v>
      </c>
      <c r="B24" s="34" t="s">
        <v>62</v>
      </c>
      <c r="C24" s="39">
        <v>944.87628571428604</v>
      </c>
      <c r="D24" s="38">
        <v>129502.74945055001</v>
      </c>
      <c r="E24" s="38">
        <v>410698.22857142898</v>
      </c>
      <c r="F24" s="39">
        <v>1.71257142857143</v>
      </c>
      <c r="G24" s="35">
        <v>50150000</v>
      </c>
      <c r="H24" s="35"/>
      <c r="I24" s="35">
        <v>23971632.857142799</v>
      </c>
      <c r="J24" s="35">
        <v>250750</v>
      </c>
      <c r="K24" s="35">
        <v>100300</v>
      </c>
      <c r="L24" s="36">
        <v>23</v>
      </c>
      <c r="M24" s="37">
        <v>42</v>
      </c>
      <c r="N24" s="35">
        <v>30</v>
      </c>
    </row>
    <row r="25" spans="1:14" ht="15" x14ac:dyDescent="0.25">
      <c r="A25" s="34">
        <v>24</v>
      </c>
      <c r="B25" s="34" t="s">
        <v>63</v>
      </c>
      <c r="C25" s="39">
        <v>988.48742857143304</v>
      </c>
      <c r="D25" s="38">
        <v>135940.94065934099</v>
      </c>
      <c r="E25" s="38">
        <v>431499.82857142901</v>
      </c>
      <c r="F25" s="39">
        <v>1.71771428571429</v>
      </c>
      <c r="G25" s="35">
        <v>52199000</v>
      </c>
      <c r="H25" s="35"/>
      <c r="I25" s="35">
        <v>25182408.5714285</v>
      </c>
      <c r="J25" s="35">
        <v>260995</v>
      </c>
      <c r="K25" s="35">
        <v>104398</v>
      </c>
      <c r="L25" s="36">
        <v>24</v>
      </c>
      <c r="M25" s="37">
        <v>24</v>
      </c>
      <c r="N25" s="35">
        <v>30</v>
      </c>
    </row>
    <row r="26" spans="1:14" ht="15" x14ac:dyDescent="0.25">
      <c r="A26" s="34">
        <v>25</v>
      </c>
      <c r="B26" s="34" t="s">
        <v>64</v>
      </c>
      <c r="C26" s="39">
        <v>1032.09857142857</v>
      </c>
      <c r="D26" s="38">
        <v>142379.13186813201</v>
      </c>
      <c r="E26" s="38">
        <v>452301.42857142899</v>
      </c>
      <c r="F26" s="39">
        <v>1.72285714285714</v>
      </c>
      <c r="G26" s="35">
        <v>49247000</v>
      </c>
      <c r="H26" s="35"/>
      <c r="I26" s="35">
        <v>26393184.285714202</v>
      </c>
      <c r="J26" s="35">
        <v>246235</v>
      </c>
      <c r="K26" s="35">
        <v>98494</v>
      </c>
      <c r="L26" s="36">
        <v>21</v>
      </c>
      <c r="M26" s="37">
        <v>32</v>
      </c>
      <c r="N26" s="35">
        <v>30</v>
      </c>
    </row>
    <row r="27" spans="1:14" ht="15" x14ac:dyDescent="0.25">
      <c r="A27" s="34">
        <v>26</v>
      </c>
      <c r="B27" s="34" t="s">
        <v>65</v>
      </c>
      <c r="C27" s="39">
        <v>1075.7097142857101</v>
      </c>
      <c r="D27" s="38">
        <v>148817.323076923</v>
      </c>
      <c r="E27" s="38">
        <v>473103.02857142902</v>
      </c>
      <c r="F27" s="39">
        <v>1.728</v>
      </c>
      <c r="G27" s="35">
        <v>56295000</v>
      </c>
      <c r="H27" s="35"/>
      <c r="I27" s="35">
        <v>27603959.999999899</v>
      </c>
      <c r="J27" s="35">
        <v>281475</v>
      </c>
      <c r="K27" s="35">
        <v>112590</v>
      </c>
      <c r="L27" s="36">
        <v>22</v>
      </c>
      <c r="M27" s="37">
        <v>29</v>
      </c>
      <c r="N27" s="35">
        <v>30</v>
      </c>
    </row>
    <row r="28" spans="1:14" ht="15" x14ac:dyDescent="0.25">
      <c r="A28" s="34">
        <v>27</v>
      </c>
      <c r="B28" s="34" t="s">
        <v>66</v>
      </c>
      <c r="C28" s="39">
        <v>1119.3208571428499</v>
      </c>
      <c r="D28" s="38">
        <v>155255.51428571399</v>
      </c>
      <c r="E28" s="38">
        <v>493904.628571429</v>
      </c>
      <c r="F28" s="39">
        <v>1.73314285714286</v>
      </c>
      <c r="G28" s="35">
        <v>54344000</v>
      </c>
      <c r="H28" s="35"/>
      <c r="I28" s="35">
        <v>28814735.714285702</v>
      </c>
      <c r="J28" s="35">
        <v>271720</v>
      </c>
      <c r="K28" s="35">
        <v>108688</v>
      </c>
      <c r="L28" s="36">
        <v>24</v>
      </c>
      <c r="M28" s="37">
        <v>25</v>
      </c>
      <c r="N28" s="35">
        <v>30</v>
      </c>
    </row>
    <row r="29" spans="1:14" ht="15" x14ac:dyDescent="0.25">
      <c r="A29" s="34">
        <v>28</v>
      </c>
      <c r="B29" s="34" t="s">
        <v>67</v>
      </c>
      <c r="C29" s="39">
        <v>1162.932</v>
      </c>
      <c r="D29" s="38">
        <v>161693.70549450599</v>
      </c>
      <c r="E29" s="38">
        <v>514706.22857142898</v>
      </c>
      <c r="F29" s="39">
        <v>1.73828571428571</v>
      </c>
      <c r="G29" s="35">
        <v>60392000</v>
      </c>
      <c r="H29" s="35"/>
      <c r="I29" s="35">
        <v>30025511.428571399</v>
      </c>
      <c r="J29" s="35">
        <v>301960</v>
      </c>
      <c r="K29" s="35">
        <v>120784</v>
      </c>
      <c r="L29" s="36">
        <v>24</v>
      </c>
      <c r="M29" s="37">
        <v>29</v>
      </c>
      <c r="N29" s="35">
        <v>30</v>
      </c>
    </row>
    <row r="30" spans="1:14" ht="15" x14ac:dyDescent="0.25">
      <c r="A30" s="34">
        <v>29</v>
      </c>
      <c r="B30" s="34" t="s">
        <v>54</v>
      </c>
      <c r="C30" s="39">
        <v>1206.5431428571401</v>
      </c>
      <c r="D30" s="38">
        <v>168131.89670329701</v>
      </c>
      <c r="E30" s="38">
        <v>535507.82857142901</v>
      </c>
      <c r="F30" s="39">
        <v>1.74342857142857</v>
      </c>
      <c r="G30" s="35">
        <v>62440000</v>
      </c>
      <c r="H30" s="35"/>
      <c r="I30" s="35">
        <v>31236287.142857101</v>
      </c>
      <c r="J30" s="35">
        <v>312200</v>
      </c>
      <c r="K30" s="35">
        <v>124880</v>
      </c>
      <c r="L30" s="36">
        <v>23</v>
      </c>
      <c r="M30" s="37">
        <v>32</v>
      </c>
      <c r="N30" s="35">
        <v>30</v>
      </c>
    </row>
    <row r="31" spans="1:14" ht="15" x14ac:dyDescent="0.25">
      <c r="A31" s="34">
        <v>30</v>
      </c>
      <c r="B31" s="34" t="s">
        <v>55</v>
      </c>
      <c r="C31" s="39">
        <v>1250.1542857142799</v>
      </c>
      <c r="D31" s="38">
        <v>174570.087912088</v>
      </c>
      <c r="E31" s="38">
        <v>556309.42857142899</v>
      </c>
      <c r="F31" s="39">
        <v>1.74857142857143</v>
      </c>
      <c r="G31" s="35">
        <v>64489000</v>
      </c>
      <c r="H31" s="35"/>
      <c r="I31" s="35">
        <v>32447062.857142799</v>
      </c>
      <c r="J31" s="35">
        <v>322445</v>
      </c>
      <c r="K31" s="35">
        <v>128978</v>
      </c>
      <c r="L31" s="36">
        <v>24</v>
      </c>
      <c r="M31" s="37">
        <v>19</v>
      </c>
      <c r="N31" s="35">
        <v>30</v>
      </c>
    </row>
    <row r="32" spans="1:14" ht="15" x14ac:dyDescent="0.25">
      <c r="A32" s="34">
        <v>31</v>
      </c>
      <c r="B32" s="34" t="s">
        <v>56</v>
      </c>
      <c r="C32" s="39">
        <v>1293.76542857143</v>
      </c>
      <c r="D32" s="38">
        <v>181008.27912087899</v>
      </c>
      <c r="E32" s="38">
        <v>577111.02857142896</v>
      </c>
      <c r="F32" s="39">
        <v>1.75371428571429</v>
      </c>
      <c r="G32" s="35">
        <v>66537000</v>
      </c>
      <c r="H32" s="35"/>
      <c r="I32" s="35">
        <v>33657838.571428597</v>
      </c>
      <c r="J32" s="35">
        <v>332685</v>
      </c>
      <c r="K32" s="35">
        <v>133074</v>
      </c>
      <c r="L32" s="36">
        <v>22</v>
      </c>
      <c r="M32" s="37">
        <v>23</v>
      </c>
      <c r="N32" s="35">
        <v>30</v>
      </c>
    </row>
    <row r="33" spans="1:14" ht="15" x14ac:dyDescent="0.25">
      <c r="A33" s="34">
        <v>32</v>
      </c>
      <c r="B33" s="34" t="s">
        <v>57</v>
      </c>
      <c r="C33" s="39">
        <v>1337.3765714285701</v>
      </c>
      <c r="D33" s="38">
        <v>187446.47032967</v>
      </c>
      <c r="E33" s="38">
        <v>597912.62857142906</v>
      </c>
      <c r="F33" s="39">
        <v>1.75885714285714</v>
      </c>
      <c r="G33" s="35">
        <v>68585000</v>
      </c>
      <c r="H33" s="35"/>
      <c r="I33" s="35">
        <v>34868614.285714298</v>
      </c>
      <c r="J33" s="35">
        <v>342925</v>
      </c>
      <c r="K33" s="35">
        <v>137170</v>
      </c>
      <c r="L33" s="36">
        <v>21</v>
      </c>
      <c r="M33" s="37">
        <v>26</v>
      </c>
      <c r="N33" s="35">
        <v>30</v>
      </c>
    </row>
    <row r="34" spans="1:14" ht="15" x14ac:dyDescent="0.25">
      <c r="A34" s="34">
        <v>33</v>
      </c>
      <c r="B34" s="34" t="s">
        <v>58</v>
      </c>
      <c r="C34" s="39">
        <v>1380.9877142857099</v>
      </c>
      <c r="D34" s="38">
        <v>193884.66153846201</v>
      </c>
      <c r="E34" s="38">
        <v>618714.22857142903</v>
      </c>
      <c r="F34" s="39">
        <v>1.764</v>
      </c>
      <c r="G34" s="35">
        <v>70634000</v>
      </c>
      <c r="H34" s="35"/>
      <c r="I34" s="35">
        <v>36079389.999999896</v>
      </c>
      <c r="J34" s="35">
        <v>353170</v>
      </c>
      <c r="K34" s="35">
        <v>141268</v>
      </c>
      <c r="L34" s="36">
        <v>24</v>
      </c>
      <c r="M34" s="37">
        <v>23</v>
      </c>
      <c r="N34" s="35">
        <v>30</v>
      </c>
    </row>
    <row r="35" spans="1:14" ht="15" x14ac:dyDescent="0.25">
      <c r="A35" s="34">
        <v>34</v>
      </c>
      <c r="B35" s="34" t="s">
        <v>59</v>
      </c>
      <c r="C35" s="39">
        <v>1424.59885714285</v>
      </c>
      <c r="D35" s="38">
        <v>200322.852747253</v>
      </c>
      <c r="E35" s="38">
        <v>639515.82857142901</v>
      </c>
      <c r="F35" s="39">
        <v>1.76914285714286</v>
      </c>
      <c r="G35" s="35">
        <v>62682000</v>
      </c>
      <c r="H35" s="35"/>
      <c r="I35" s="35">
        <v>37290165.714285597</v>
      </c>
      <c r="J35" s="35">
        <v>313410</v>
      </c>
      <c r="K35" s="35">
        <v>125364</v>
      </c>
      <c r="L35" s="36">
        <v>20</v>
      </c>
      <c r="M35" s="37">
        <v>28</v>
      </c>
      <c r="N35" s="35">
        <v>30</v>
      </c>
    </row>
    <row r="36" spans="1:14" ht="15" x14ac:dyDescent="0.25">
      <c r="A36" s="34">
        <v>35</v>
      </c>
      <c r="B36" s="34" t="s">
        <v>60</v>
      </c>
      <c r="C36" s="39">
        <v>1468.21</v>
      </c>
      <c r="D36" s="38">
        <v>206761.04395604401</v>
      </c>
      <c r="E36" s="38">
        <v>660317.42857142899</v>
      </c>
      <c r="F36" s="39">
        <v>1.77428571428571</v>
      </c>
      <c r="G36" s="35">
        <v>74730000</v>
      </c>
      <c r="H36" s="35"/>
      <c r="I36" s="35">
        <v>38500941.4285715</v>
      </c>
      <c r="J36" s="35">
        <v>373650</v>
      </c>
      <c r="K36" s="35">
        <v>149460</v>
      </c>
      <c r="L36" s="36">
        <v>24</v>
      </c>
      <c r="M36" s="37">
        <v>31</v>
      </c>
      <c r="N36" s="35">
        <v>30</v>
      </c>
    </row>
    <row r="37" spans="1:14" ht="15" x14ac:dyDescent="0.25">
      <c r="A37" s="34">
        <v>36</v>
      </c>
      <c r="B37" s="34" t="s">
        <v>61</v>
      </c>
      <c r="C37" s="39">
        <v>1511.8211428571401</v>
      </c>
      <c r="D37" s="38">
        <v>213199.235164835</v>
      </c>
      <c r="E37" s="38">
        <v>681119.02857142896</v>
      </c>
      <c r="F37" s="39">
        <v>1.77942857142857</v>
      </c>
      <c r="G37" s="35">
        <v>76779000</v>
      </c>
      <c r="H37" s="35"/>
      <c r="I37" s="35">
        <v>39711717.142857194</v>
      </c>
      <c r="J37" s="35">
        <v>383895</v>
      </c>
      <c r="K37" s="35">
        <v>153558</v>
      </c>
      <c r="L37" s="36">
        <v>20</v>
      </c>
      <c r="M37" s="37">
        <v>37</v>
      </c>
      <c r="N37" s="35">
        <v>30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E49" sqref="E49"/>
    </sheetView>
  </sheetViews>
  <sheetFormatPr defaultRowHeight="12.75" x14ac:dyDescent="0.2"/>
  <cols>
    <col min="1" max="1" width="20.140625" customWidth="1"/>
    <col min="2" max="2" width="16.42578125" customWidth="1"/>
    <col min="3" max="3" width="17.85546875" customWidth="1"/>
    <col min="4" max="4" width="15.5703125" customWidth="1"/>
    <col min="5" max="5" width="16.5703125" customWidth="1"/>
    <col min="6" max="6" width="18" customWidth="1"/>
    <col min="7" max="7" width="15.42578125" customWidth="1"/>
    <col min="8" max="8" width="23.85546875" customWidth="1"/>
    <col min="9" max="9" width="16.42578125" customWidth="1"/>
    <col min="10" max="10" width="19.28515625" customWidth="1"/>
    <col min="11" max="11" width="11" customWidth="1"/>
    <col min="12" max="12" width="11.7109375" bestFit="1" customWidth="1"/>
  </cols>
  <sheetData>
    <row r="1" spans="1:20" ht="27.75" customHeight="1" thickBot="1" x14ac:dyDescent="0.3">
      <c r="A1" s="166" t="s">
        <v>4</v>
      </c>
      <c r="B1" s="166"/>
      <c r="C1" s="166"/>
      <c r="D1" s="142" t="s">
        <v>57</v>
      </c>
      <c r="E1" s="143"/>
      <c r="F1" s="144"/>
      <c r="G1" s="28"/>
      <c r="H1" s="28"/>
      <c r="I1" s="28"/>
      <c r="J1" s="28"/>
      <c r="K1" s="28"/>
    </row>
    <row r="2" spans="1:20" ht="54.75" customHeight="1" thickBot="1" x14ac:dyDescent="0.25">
      <c r="A2" s="167" t="s">
        <v>76</v>
      </c>
      <c r="B2" s="168"/>
      <c r="C2" s="168"/>
      <c r="D2" s="169"/>
      <c r="E2" s="169"/>
      <c r="F2" s="169"/>
      <c r="G2" s="168"/>
      <c r="H2" s="168"/>
      <c r="I2" s="168"/>
      <c r="J2" s="168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thickBot="1" x14ac:dyDescent="0.25">
      <c r="A3" s="170" t="s">
        <v>5</v>
      </c>
      <c r="B3" s="152"/>
      <c r="C3" s="171"/>
      <c r="D3" s="172">
        <v>0</v>
      </c>
      <c r="E3" s="173"/>
      <c r="F3" s="155" t="s">
        <v>6</v>
      </c>
      <c r="G3" s="156"/>
      <c r="H3" s="156"/>
      <c r="I3" s="157"/>
      <c r="J3" s="54">
        <v>0</v>
      </c>
      <c r="K3" s="53"/>
      <c r="L3" s="1"/>
      <c r="M3" s="1"/>
      <c r="N3" s="1"/>
      <c r="O3" s="1"/>
      <c r="P3" s="1"/>
      <c r="Q3" s="1"/>
      <c r="R3" s="1"/>
      <c r="S3" s="1"/>
      <c r="T3" s="1"/>
    </row>
    <row r="4" spans="1:20" ht="4.5" customHeight="1" thickBot="1" x14ac:dyDescent="0.25">
      <c r="K4" s="53"/>
      <c r="L4" s="1"/>
      <c r="M4" s="1"/>
      <c r="N4" s="1"/>
      <c r="O4" s="1"/>
      <c r="P4" s="1"/>
      <c r="Q4" s="1"/>
      <c r="R4" s="1"/>
      <c r="S4" s="1"/>
      <c r="T4" s="1"/>
    </row>
    <row r="5" spans="1:20" ht="36.75" customHeight="1" thickBot="1" x14ac:dyDescent="0.25">
      <c r="A5" s="152" t="s">
        <v>7</v>
      </c>
      <c r="B5" s="152"/>
      <c r="C5" s="152"/>
      <c r="D5" s="153" t="e">
        <f>C12+E17</f>
        <v>#DIV/0!</v>
      </c>
      <c r="E5" s="154"/>
      <c r="F5" s="155" t="s">
        <v>8</v>
      </c>
      <c r="G5" s="156"/>
      <c r="H5" s="156"/>
      <c r="I5" s="157"/>
      <c r="J5" s="55">
        <v>0</v>
      </c>
      <c r="K5" s="53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2">
      <c r="A6" s="158" t="s">
        <v>9</v>
      </c>
      <c r="B6" s="159"/>
      <c r="C6" s="158" t="s">
        <v>10</v>
      </c>
      <c r="D6" s="162"/>
      <c r="E6" s="130" t="s">
        <v>11</v>
      </c>
      <c r="F6" s="131"/>
      <c r="G6" s="132"/>
      <c r="H6" s="10" t="s">
        <v>12</v>
      </c>
      <c r="I6" s="11" t="s">
        <v>13</v>
      </c>
      <c r="J6" s="49" t="s">
        <v>14</v>
      </c>
      <c r="K6" s="5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 x14ac:dyDescent="0.25">
      <c r="A7" s="160"/>
      <c r="B7" s="161"/>
      <c r="C7" s="160"/>
      <c r="D7" s="163"/>
      <c r="E7" s="12">
        <f>H7+H9</f>
        <v>0</v>
      </c>
      <c r="F7" s="13" t="s">
        <v>0</v>
      </c>
      <c r="G7" s="14"/>
      <c r="H7" s="56">
        <v>0</v>
      </c>
      <c r="I7" s="164" t="s">
        <v>15</v>
      </c>
      <c r="J7" s="50"/>
      <c r="K7" s="53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160"/>
      <c r="B8" s="161"/>
      <c r="C8" s="160"/>
      <c r="D8" s="163"/>
      <c r="E8" s="15" t="e">
        <f>(E7*1000/365)/$J$3</f>
        <v>#DIV/0!</v>
      </c>
      <c r="F8" s="13" t="s">
        <v>16</v>
      </c>
      <c r="G8" s="14"/>
      <c r="H8" s="10" t="s">
        <v>17</v>
      </c>
      <c r="I8" s="164"/>
      <c r="J8" s="51">
        <f>E7</f>
        <v>0</v>
      </c>
      <c r="K8" s="53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thickBot="1" x14ac:dyDescent="0.25">
      <c r="A9" s="160"/>
      <c r="B9" s="161"/>
      <c r="C9" s="160"/>
      <c r="D9" s="163"/>
      <c r="E9" s="15" t="e">
        <f>E7*1000/(365*$D$3)</f>
        <v>#DIV/0!</v>
      </c>
      <c r="F9" s="13" t="s">
        <v>18</v>
      </c>
      <c r="G9" s="14"/>
      <c r="H9" s="56">
        <v>0</v>
      </c>
      <c r="I9" s="165"/>
      <c r="J9" s="52" t="s">
        <v>0</v>
      </c>
      <c r="K9" s="53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7">
        <v>0</v>
      </c>
      <c r="B10" s="14" t="s">
        <v>0</v>
      </c>
      <c r="C10" s="12">
        <f>E7+E11</f>
        <v>0</v>
      </c>
      <c r="D10" s="14" t="s">
        <v>0</v>
      </c>
      <c r="E10" s="130" t="s">
        <v>19</v>
      </c>
      <c r="F10" s="131"/>
      <c r="G10" s="132"/>
      <c r="H10" s="10" t="s">
        <v>80</v>
      </c>
      <c r="I10" s="16" t="s">
        <v>20</v>
      </c>
      <c r="J10" s="58" t="s">
        <v>21</v>
      </c>
      <c r="K10" s="59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25">
      <c r="A11" s="15" t="e">
        <f>(A10*1000/365)/$J$3</f>
        <v>#DIV/0!</v>
      </c>
      <c r="B11" s="14" t="s">
        <v>16</v>
      </c>
      <c r="C11" s="15" t="e">
        <f>E8+E12</f>
        <v>#DIV/0!</v>
      </c>
      <c r="D11" s="14" t="s">
        <v>16</v>
      </c>
      <c r="E11" s="12">
        <f>H11+H13</f>
        <v>0</v>
      </c>
      <c r="F11" s="13" t="s">
        <v>0</v>
      </c>
      <c r="G11" s="14"/>
      <c r="H11" s="56">
        <v>0</v>
      </c>
      <c r="I11" s="17" t="e">
        <f>H11/A10</f>
        <v>#DIV/0!</v>
      </c>
      <c r="J11" s="60" t="s">
        <v>22</v>
      </c>
      <c r="K11" s="59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12" t="e">
        <f>A10*1000/(365*$D$3)</f>
        <v>#DIV/0!</v>
      </c>
      <c r="B12" s="14" t="s">
        <v>18</v>
      </c>
      <c r="C12" s="12" t="e">
        <f>E9+E13</f>
        <v>#DIV/0!</v>
      </c>
      <c r="D12" s="14" t="s">
        <v>18</v>
      </c>
      <c r="E12" s="18" t="e">
        <f>(E11*1000/365)/$J$3</f>
        <v>#DIV/0!</v>
      </c>
      <c r="F12" s="13" t="s">
        <v>16</v>
      </c>
      <c r="G12" s="14"/>
      <c r="H12" s="10" t="s">
        <v>46</v>
      </c>
      <c r="I12" s="16" t="s">
        <v>20</v>
      </c>
      <c r="J12" s="60" t="s">
        <v>23</v>
      </c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25">
      <c r="A13" s="15">
        <f>A10*1000/(365*24*3600)</f>
        <v>0</v>
      </c>
      <c r="B13" s="14" t="s">
        <v>24</v>
      </c>
      <c r="C13" s="15">
        <f>C10*1000/(365*24*3600)</f>
        <v>0</v>
      </c>
      <c r="D13" s="14" t="s">
        <v>24</v>
      </c>
      <c r="E13" s="19" t="e">
        <f>E11*1000/(365*$D$3)</f>
        <v>#DIV/0!</v>
      </c>
      <c r="F13" s="13" t="s">
        <v>18</v>
      </c>
      <c r="G13" s="14"/>
      <c r="H13" s="56">
        <v>0</v>
      </c>
      <c r="I13" s="17" t="e">
        <f>H13/A10</f>
        <v>#DIV/0!</v>
      </c>
      <c r="J13" s="61"/>
      <c r="K13" s="59"/>
      <c r="L13" s="1"/>
      <c r="M13" s="1"/>
      <c r="N13" s="1"/>
      <c r="O13" s="1"/>
      <c r="P13" s="1"/>
      <c r="Q13" s="1"/>
      <c r="R13" s="1"/>
      <c r="S13" s="1"/>
      <c r="T13" s="1"/>
    </row>
    <row r="14" spans="1:20" ht="35.25" customHeight="1" x14ac:dyDescent="0.2">
      <c r="A14" s="20"/>
      <c r="B14" s="21"/>
      <c r="C14" s="134" t="s">
        <v>25</v>
      </c>
      <c r="D14" s="135"/>
      <c r="E14" s="136" t="s">
        <v>26</v>
      </c>
      <c r="F14" s="137"/>
      <c r="G14" s="138"/>
      <c r="H14" s="62" t="s">
        <v>27</v>
      </c>
      <c r="I14" s="63" t="s">
        <v>47</v>
      </c>
      <c r="J14" s="64">
        <f>A10-J8</f>
        <v>0</v>
      </c>
      <c r="K14" s="65" t="s">
        <v>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thickBot="1" x14ac:dyDescent="0.25">
      <c r="A15" s="22"/>
      <c r="B15" s="14"/>
      <c r="C15" s="145"/>
      <c r="D15" s="146"/>
      <c r="E15" s="66">
        <v>0</v>
      </c>
      <c r="F15" s="67" t="s">
        <v>0</v>
      </c>
      <c r="G15" s="68"/>
      <c r="H15" s="69"/>
      <c r="I15" s="70"/>
      <c r="J15" s="71" t="e">
        <f>(J14*1000/365)/$J$3</f>
        <v>#DIV/0!</v>
      </c>
      <c r="K15" s="65" t="s">
        <v>16</v>
      </c>
      <c r="L15" s="26"/>
      <c r="M15" s="1"/>
      <c r="N15" s="1"/>
      <c r="O15" s="1"/>
      <c r="P15" s="1"/>
      <c r="Q15" s="1"/>
      <c r="R15" s="1"/>
      <c r="S15" s="1"/>
      <c r="T15" s="1"/>
    </row>
    <row r="16" spans="1:20" ht="15" x14ac:dyDescent="0.2">
      <c r="A16" s="22"/>
      <c r="B16" s="14"/>
      <c r="C16" s="72"/>
      <c r="D16" s="73"/>
      <c r="E16" s="74" t="e">
        <f>E15/C10</f>
        <v>#DIV/0!</v>
      </c>
      <c r="F16" s="75" t="s">
        <v>29</v>
      </c>
      <c r="G16" s="68"/>
      <c r="H16" s="76" t="s">
        <v>30</v>
      </c>
      <c r="I16" s="77" t="s">
        <v>28</v>
      </c>
      <c r="J16" s="71" t="e">
        <f>J14*1000/(365*$D$3)</f>
        <v>#DIV/0!</v>
      </c>
      <c r="K16" s="65" t="s">
        <v>18</v>
      </c>
      <c r="L16" s="27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22"/>
      <c r="B17" s="14"/>
      <c r="C17" s="72"/>
      <c r="D17" s="73"/>
      <c r="E17" s="78" t="e">
        <f>(E15*1000/365)/$D$3</f>
        <v>#DIV/0!</v>
      </c>
      <c r="F17" s="67" t="s">
        <v>18</v>
      </c>
      <c r="G17" s="68"/>
      <c r="H17" s="79"/>
      <c r="I17" s="80"/>
      <c r="J17" s="71">
        <f>J14*1000/(365*24*3600)</f>
        <v>0</v>
      </c>
      <c r="K17" s="65" t="s">
        <v>24</v>
      </c>
      <c r="L17" s="26"/>
      <c r="M17" s="1"/>
      <c r="N17" s="1"/>
      <c r="O17" s="1"/>
      <c r="P17" s="1"/>
      <c r="Q17" s="1"/>
      <c r="R17" s="1"/>
      <c r="S17" s="1"/>
      <c r="T17" s="1"/>
    </row>
    <row r="18" spans="1:20" ht="21.75" customHeight="1" thickBot="1" x14ac:dyDescent="0.25">
      <c r="A18" s="22"/>
      <c r="B18" s="14"/>
      <c r="C18" s="72"/>
      <c r="D18" s="73"/>
      <c r="E18" s="78" t="e">
        <f>(E15*1000/365)/($J$3)</f>
        <v>#DIV/0!</v>
      </c>
      <c r="F18" s="67" t="s">
        <v>16</v>
      </c>
      <c r="G18" s="68"/>
      <c r="H18" s="69"/>
      <c r="I18" s="70"/>
      <c r="J18" s="81"/>
      <c r="K18" s="59"/>
      <c r="L18" s="26"/>
      <c r="M18" s="1"/>
      <c r="N18" s="1"/>
      <c r="O18" s="1"/>
      <c r="P18" s="1"/>
      <c r="Q18" s="1"/>
      <c r="R18" s="1"/>
      <c r="S18" s="1"/>
      <c r="T18" s="1"/>
    </row>
    <row r="19" spans="1:20" ht="15.75" x14ac:dyDescent="0.2">
      <c r="A19" s="22"/>
      <c r="B19" s="14"/>
      <c r="C19" s="72"/>
      <c r="D19" s="73"/>
      <c r="E19" s="150" t="s">
        <v>81</v>
      </c>
      <c r="F19" s="151"/>
      <c r="G19" s="82" t="e">
        <f>E15/C20</f>
        <v>#DIV/0!</v>
      </c>
      <c r="H19" s="76" t="s">
        <v>31</v>
      </c>
      <c r="I19" s="77" t="s">
        <v>28</v>
      </c>
      <c r="J19" s="71"/>
      <c r="K19" s="65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thickBot="1" x14ac:dyDescent="0.25">
      <c r="A20" s="22"/>
      <c r="B20" s="14"/>
      <c r="C20" s="83">
        <f>A10-C10</f>
        <v>0</v>
      </c>
      <c r="D20" s="84" t="s">
        <v>0</v>
      </c>
      <c r="E20" s="85"/>
      <c r="F20" s="86"/>
      <c r="G20" s="87"/>
      <c r="H20" s="69"/>
      <c r="I20" s="70"/>
      <c r="J20" s="88" t="e">
        <f>J14/A10</f>
        <v>#DIV/0!</v>
      </c>
      <c r="K20" s="89" t="s">
        <v>28</v>
      </c>
      <c r="L20" s="23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">
      <c r="A21" s="22"/>
      <c r="B21" s="14"/>
      <c r="C21" s="90"/>
      <c r="D21" s="84"/>
      <c r="E21" s="147" t="s">
        <v>32</v>
      </c>
      <c r="F21" s="148"/>
      <c r="G21" s="149"/>
      <c r="H21" s="76" t="s">
        <v>33</v>
      </c>
      <c r="I21" s="77" t="s">
        <v>34</v>
      </c>
      <c r="J21" s="88"/>
      <c r="K21" s="59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thickBot="1" x14ac:dyDescent="0.25">
      <c r="A22" s="22"/>
      <c r="B22" s="14"/>
      <c r="C22" s="90" t="e">
        <f>(C20*1000/365)/$J$3</f>
        <v>#DIV/0!</v>
      </c>
      <c r="D22" s="84" t="s">
        <v>16</v>
      </c>
      <c r="E22" s="147"/>
      <c r="F22" s="148"/>
      <c r="G22" s="149"/>
      <c r="H22" s="69"/>
      <c r="I22" s="91"/>
      <c r="J22" s="92"/>
      <c r="K22" s="59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">
      <c r="A23" s="22"/>
      <c r="B23" s="14"/>
      <c r="C23" s="83" t="e">
        <f>A12-C12</f>
        <v>#DIV/0!</v>
      </c>
      <c r="D23" s="84" t="s">
        <v>18</v>
      </c>
      <c r="E23" s="93">
        <f>A10-C10-E15</f>
        <v>0</v>
      </c>
      <c r="F23" s="67" t="s">
        <v>35</v>
      </c>
      <c r="G23" s="94"/>
      <c r="H23" s="76" t="s">
        <v>36</v>
      </c>
      <c r="I23" s="77" t="s">
        <v>34</v>
      </c>
      <c r="J23" s="92"/>
      <c r="K23" s="59"/>
      <c r="L23" s="1"/>
      <c r="M23" s="1"/>
      <c r="N23" s="1"/>
      <c r="O23" s="1"/>
      <c r="P23" s="1"/>
      <c r="Q23" s="1"/>
      <c r="R23" s="1"/>
      <c r="S23" s="1"/>
      <c r="T23" s="1"/>
    </row>
    <row r="24" spans="1:20" ht="16.5" thickBot="1" x14ac:dyDescent="0.25">
      <c r="A24" s="22"/>
      <c r="B24" s="14"/>
      <c r="C24" s="95" t="e">
        <f>C20*100/A10</f>
        <v>#DIV/0!</v>
      </c>
      <c r="D24" s="73" t="s">
        <v>28</v>
      </c>
      <c r="E24" s="96" t="e">
        <f>(E23*1000/365)*(24/$J$5)/$J$3</f>
        <v>#DIV/0!</v>
      </c>
      <c r="F24" s="67" t="s">
        <v>16</v>
      </c>
      <c r="G24" s="97" t="s">
        <v>37</v>
      </c>
      <c r="H24" s="69"/>
      <c r="I24" s="91"/>
      <c r="J24" s="92"/>
      <c r="K24" s="59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">
      <c r="A25" s="22"/>
      <c r="B25" s="14"/>
      <c r="C25" s="72"/>
      <c r="D25" s="73"/>
      <c r="E25" s="98" t="e">
        <f>E23/(365*J5)/H27</f>
        <v>#DIV/0!</v>
      </c>
      <c r="F25" s="99" t="s">
        <v>38</v>
      </c>
      <c r="G25" s="97" t="s">
        <v>37</v>
      </c>
      <c r="H25" s="76" t="s">
        <v>39</v>
      </c>
      <c r="I25" s="77" t="s">
        <v>34</v>
      </c>
      <c r="J25" s="92"/>
      <c r="K25" s="59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25">
      <c r="A26" s="24"/>
      <c r="B26" s="25"/>
      <c r="C26" s="100"/>
      <c r="D26" s="101"/>
      <c r="E26" s="102" t="e">
        <f>E23/A10</f>
        <v>#DIV/0!</v>
      </c>
      <c r="F26" s="103" t="s">
        <v>20</v>
      </c>
      <c r="G26" s="104"/>
      <c r="H26" s="105"/>
      <c r="I26" s="106"/>
      <c r="J26" s="107"/>
      <c r="K26" s="10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">
      <c r="A27" s="1"/>
      <c r="B27" s="1"/>
      <c r="C27" s="139" t="s">
        <v>40</v>
      </c>
      <c r="D27" s="139"/>
      <c r="E27" s="139"/>
      <c r="F27" s="140"/>
      <c r="G27" s="109" t="s">
        <v>41</v>
      </c>
      <c r="H27" s="110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75" customHeight="1" x14ac:dyDescent="0.35">
      <c r="A28" s="111" t="s">
        <v>82</v>
      </c>
      <c r="B28" s="47"/>
      <c r="C28" s="112"/>
      <c r="D28" s="47"/>
      <c r="E28" s="47"/>
      <c r="F28" s="47"/>
      <c r="G28" s="47"/>
      <c r="H28" s="47"/>
      <c r="I28" s="47"/>
      <c r="J28" s="47"/>
      <c r="K28" s="48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41"/>
      <c r="B29" s="141" t="s">
        <v>83</v>
      </c>
      <c r="C29" s="141"/>
      <c r="D29" s="141"/>
      <c r="E29" s="113">
        <v>0</v>
      </c>
      <c r="F29" s="114"/>
      <c r="G29" s="115"/>
      <c r="H29" s="115"/>
      <c r="I29" s="115"/>
      <c r="J29" s="115"/>
      <c r="K29" s="116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15"/>
      <c r="B30" s="141" t="s">
        <v>84</v>
      </c>
      <c r="C30" s="141"/>
      <c r="D30" s="141"/>
      <c r="E30" s="117">
        <f>(0.8*J3+25*H27)*E29*(365/1000)</f>
        <v>0</v>
      </c>
      <c r="F30" s="114"/>
      <c r="G30" s="115"/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18"/>
      <c r="B31" s="141" t="s">
        <v>85</v>
      </c>
      <c r="C31" s="141"/>
      <c r="D31" s="141"/>
      <c r="E31" s="119" t="e">
        <f>E23/E30</f>
        <v>#DIV/0!</v>
      </c>
      <c r="F31" s="114"/>
      <c r="G31" s="115"/>
      <c r="H31" s="115"/>
      <c r="I31" s="115"/>
      <c r="J31" s="115"/>
      <c r="K31" s="116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20"/>
      <c r="B32" s="121"/>
      <c r="C32" s="122"/>
      <c r="D32" s="121"/>
      <c r="E32" s="121"/>
      <c r="F32" s="121"/>
      <c r="G32" s="121"/>
      <c r="H32" s="121"/>
      <c r="I32" s="121"/>
      <c r="J32" s="121"/>
      <c r="K32" s="123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 x14ac:dyDescent="0.2">
      <c r="A33" s="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">
        <v>1</v>
      </c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9">
        <v>2</v>
      </c>
      <c r="B35" s="133" t="s">
        <v>44</v>
      </c>
      <c r="C35" s="133"/>
      <c r="D35" s="133"/>
      <c r="E35" s="133"/>
      <c r="F35" s="133"/>
      <c r="G35" s="133"/>
      <c r="H35" s="133"/>
      <c r="I35" s="133"/>
      <c r="J35" s="1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>
        <v>3</v>
      </c>
      <c r="B36" s="133" t="s">
        <v>45</v>
      </c>
      <c r="C36" s="133"/>
      <c r="D36" s="133"/>
      <c r="E36" s="133"/>
      <c r="F36" s="133"/>
      <c r="G36" s="133"/>
      <c r="H36" s="133"/>
      <c r="I36" s="133"/>
      <c r="J36" s="13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>
        <v>4</v>
      </c>
      <c r="B37" s="124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6">
    <mergeCell ref="A1:C1"/>
    <mergeCell ref="D1:F1"/>
    <mergeCell ref="A2:J2"/>
    <mergeCell ref="A3:C3"/>
    <mergeCell ref="D3:E3"/>
    <mergeCell ref="F3:I3"/>
    <mergeCell ref="E21:G22"/>
    <mergeCell ref="A5:C5"/>
    <mergeCell ref="D5:E5"/>
    <mergeCell ref="F5:I5"/>
    <mergeCell ref="A6:B9"/>
    <mergeCell ref="C6:D9"/>
    <mergeCell ref="E6:G6"/>
    <mergeCell ref="I7:I9"/>
    <mergeCell ref="E10:G10"/>
    <mergeCell ref="C14:D14"/>
    <mergeCell ref="E14:G14"/>
    <mergeCell ref="C15:D15"/>
    <mergeCell ref="E19:F19"/>
    <mergeCell ref="B36:J36"/>
    <mergeCell ref="C27:F27"/>
    <mergeCell ref="B29:D29"/>
    <mergeCell ref="B30:D30"/>
    <mergeCell ref="B31:D31"/>
    <mergeCell ref="B34:J34"/>
    <mergeCell ref="B35:J3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0" workbookViewId="0">
      <selection activeCell="E49" sqref="E49"/>
    </sheetView>
  </sheetViews>
  <sheetFormatPr defaultRowHeight="12.75" x14ac:dyDescent="0.2"/>
  <cols>
    <col min="1" max="1" width="20.140625" customWidth="1"/>
    <col min="2" max="2" width="16.42578125" customWidth="1"/>
    <col min="3" max="3" width="17.85546875" customWidth="1"/>
    <col min="4" max="4" width="15.5703125" customWidth="1"/>
    <col min="5" max="5" width="16.5703125" customWidth="1"/>
    <col min="6" max="6" width="18" customWidth="1"/>
    <col min="7" max="7" width="15.42578125" customWidth="1"/>
    <col min="8" max="8" width="23.85546875" customWidth="1"/>
    <col min="9" max="9" width="16.42578125" customWidth="1"/>
    <col min="10" max="10" width="19.28515625" customWidth="1"/>
    <col min="11" max="11" width="11" customWidth="1"/>
    <col min="12" max="12" width="11.7109375" bestFit="1" customWidth="1"/>
  </cols>
  <sheetData>
    <row r="1" spans="1:20" ht="27.75" customHeight="1" thickBot="1" x14ac:dyDescent="0.3">
      <c r="A1" s="166" t="s">
        <v>4</v>
      </c>
      <c r="B1" s="166"/>
      <c r="C1" s="166"/>
      <c r="D1" s="142" t="s">
        <v>58</v>
      </c>
      <c r="E1" s="143"/>
      <c r="F1" s="144"/>
      <c r="G1" s="28"/>
      <c r="H1" s="28"/>
      <c r="I1" s="28"/>
      <c r="J1" s="28"/>
      <c r="K1" s="28"/>
    </row>
    <row r="2" spans="1:20" ht="54.75" customHeight="1" thickBot="1" x14ac:dyDescent="0.25">
      <c r="A2" s="167" t="s">
        <v>76</v>
      </c>
      <c r="B2" s="168"/>
      <c r="C2" s="168"/>
      <c r="D2" s="169"/>
      <c r="E2" s="169"/>
      <c r="F2" s="169"/>
      <c r="G2" s="168"/>
      <c r="H2" s="168"/>
      <c r="I2" s="168"/>
      <c r="J2" s="168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thickBot="1" x14ac:dyDescent="0.25">
      <c r="A3" s="170" t="s">
        <v>5</v>
      </c>
      <c r="B3" s="152"/>
      <c r="C3" s="171"/>
      <c r="D3" s="172">
        <v>0</v>
      </c>
      <c r="E3" s="173"/>
      <c r="F3" s="155" t="s">
        <v>6</v>
      </c>
      <c r="G3" s="156"/>
      <c r="H3" s="156"/>
      <c r="I3" s="157"/>
      <c r="J3" s="54">
        <v>0</v>
      </c>
      <c r="K3" s="53"/>
      <c r="L3" s="1"/>
      <c r="M3" s="1"/>
      <c r="N3" s="1"/>
      <c r="O3" s="1"/>
      <c r="P3" s="1"/>
      <c r="Q3" s="1"/>
      <c r="R3" s="1"/>
      <c r="S3" s="1"/>
      <c r="T3" s="1"/>
    </row>
    <row r="4" spans="1:20" ht="4.5" customHeight="1" thickBot="1" x14ac:dyDescent="0.25">
      <c r="K4" s="53"/>
      <c r="L4" s="1"/>
      <c r="M4" s="1"/>
      <c r="N4" s="1"/>
      <c r="O4" s="1"/>
      <c r="P4" s="1"/>
      <c r="Q4" s="1"/>
      <c r="R4" s="1"/>
      <c r="S4" s="1"/>
      <c r="T4" s="1"/>
    </row>
    <row r="5" spans="1:20" ht="36.75" customHeight="1" thickBot="1" x14ac:dyDescent="0.25">
      <c r="A5" s="152" t="s">
        <v>7</v>
      </c>
      <c r="B5" s="152"/>
      <c r="C5" s="152"/>
      <c r="D5" s="153" t="e">
        <f>C12+E17</f>
        <v>#DIV/0!</v>
      </c>
      <c r="E5" s="154"/>
      <c r="F5" s="155" t="s">
        <v>8</v>
      </c>
      <c r="G5" s="156"/>
      <c r="H5" s="156"/>
      <c r="I5" s="157"/>
      <c r="J5" s="55">
        <v>0</v>
      </c>
      <c r="K5" s="53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2">
      <c r="A6" s="158" t="s">
        <v>9</v>
      </c>
      <c r="B6" s="159"/>
      <c r="C6" s="158" t="s">
        <v>10</v>
      </c>
      <c r="D6" s="162"/>
      <c r="E6" s="130" t="s">
        <v>11</v>
      </c>
      <c r="F6" s="131"/>
      <c r="G6" s="132"/>
      <c r="H6" s="10" t="s">
        <v>12</v>
      </c>
      <c r="I6" s="11" t="s">
        <v>13</v>
      </c>
      <c r="J6" s="49" t="s">
        <v>14</v>
      </c>
      <c r="K6" s="5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 x14ac:dyDescent="0.25">
      <c r="A7" s="160"/>
      <c r="B7" s="161"/>
      <c r="C7" s="160"/>
      <c r="D7" s="163"/>
      <c r="E7" s="12">
        <f>H7+H9</f>
        <v>0</v>
      </c>
      <c r="F7" s="13" t="s">
        <v>0</v>
      </c>
      <c r="G7" s="14"/>
      <c r="H7" s="56">
        <v>0</v>
      </c>
      <c r="I7" s="164" t="s">
        <v>15</v>
      </c>
      <c r="J7" s="50"/>
      <c r="K7" s="53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160"/>
      <c r="B8" s="161"/>
      <c r="C8" s="160"/>
      <c r="D8" s="163"/>
      <c r="E8" s="15" t="e">
        <f>(E7*1000/365)/$J$3</f>
        <v>#DIV/0!</v>
      </c>
      <c r="F8" s="13" t="s">
        <v>16</v>
      </c>
      <c r="G8" s="14"/>
      <c r="H8" s="10" t="s">
        <v>17</v>
      </c>
      <c r="I8" s="164"/>
      <c r="J8" s="51">
        <f>E7</f>
        <v>0</v>
      </c>
      <c r="K8" s="53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thickBot="1" x14ac:dyDescent="0.25">
      <c r="A9" s="160"/>
      <c r="B9" s="161"/>
      <c r="C9" s="160"/>
      <c r="D9" s="163"/>
      <c r="E9" s="15" t="e">
        <f>E7*1000/(365*$D$3)</f>
        <v>#DIV/0!</v>
      </c>
      <c r="F9" s="13" t="s">
        <v>18</v>
      </c>
      <c r="G9" s="14"/>
      <c r="H9" s="56">
        <v>0</v>
      </c>
      <c r="I9" s="165"/>
      <c r="J9" s="52" t="s">
        <v>0</v>
      </c>
      <c r="K9" s="53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7">
        <v>0</v>
      </c>
      <c r="B10" s="14" t="s">
        <v>0</v>
      </c>
      <c r="C10" s="12">
        <f>E7+E11</f>
        <v>0</v>
      </c>
      <c r="D10" s="14" t="s">
        <v>0</v>
      </c>
      <c r="E10" s="130" t="s">
        <v>19</v>
      </c>
      <c r="F10" s="131"/>
      <c r="G10" s="132"/>
      <c r="H10" s="10" t="s">
        <v>80</v>
      </c>
      <c r="I10" s="16" t="s">
        <v>20</v>
      </c>
      <c r="J10" s="58" t="s">
        <v>21</v>
      </c>
      <c r="K10" s="59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25">
      <c r="A11" s="15" t="e">
        <f>(A10*1000/365)/$J$3</f>
        <v>#DIV/0!</v>
      </c>
      <c r="B11" s="14" t="s">
        <v>16</v>
      </c>
      <c r="C11" s="15" t="e">
        <f>E8+E12</f>
        <v>#DIV/0!</v>
      </c>
      <c r="D11" s="14" t="s">
        <v>16</v>
      </c>
      <c r="E11" s="12">
        <f>H11+H13</f>
        <v>0</v>
      </c>
      <c r="F11" s="13" t="s">
        <v>0</v>
      </c>
      <c r="G11" s="14"/>
      <c r="H11" s="56">
        <v>0</v>
      </c>
      <c r="I11" s="17" t="e">
        <f>H11/A10</f>
        <v>#DIV/0!</v>
      </c>
      <c r="J11" s="60" t="s">
        <v>22</v>
      </c>
      <c r="K11" s="59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12" t="e">
        <f>A10*1000/(365*$D$3)</f>
        <v>#DIV/0!</v>
      </c>
      <c r="B12" s="14" t="s">
        <v>18</v>
      </c>
      <c r="C12" s="12" t="e">
        <f>E9+E13</f>
        <v>#DIV/0!</v>
      </c>
      <c r="D12" s="14" t="s">
        <v>18</v>
      </c>
      <c r="E12" s="18" t="e">
        <f>(E11*1000/365)/$J$3</f>
        <v>#DIV/0!</v>
      </c>
      <c r="F12" s="13" t="s">
        <v>16</v>
      </c>
      <c r="G12" s="14"/>
      <c r="H12" s="10" t="s">
        <v>46</v>
      </c>
      <c r="I12" s="16" t="s">
        <v>20</v>
      </c>
      <c r="J12" s="60" t="s">
        <v>23</v>
      </c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25">
      <c r="A13" s="15">
        <f>A10*1000/(365*24*3600)</f>
        <v>0</v>
      </c>
      <c r="B13" s="14" t="s">
        <v>24</v>
      </c>
      <c r="C13" s="15">
        <f>C10*1000/(365*24*3600)</f>
        <v>0</v>
      </c>
      <c r="D13" s="14" t="s">
        <v>24</v>
      </c>
      <c r="E13" s="19" t="e">
        <f>E11*1000/(365*$D$3)</f>
        <v>#DIV/0!</v>
      </c>
      <c r="F13" s="13" t="s">
        <v>18</v>
      </c>
      <c r="G13" s="14"/>
      <c r="H13" s="56">
        <v>0</v>
      </c>
      <c r="I13" s="17" t="e">
        <f>H13/A10</f>
        <v>#DIV/0!</v>
      </c>
      <c r="J13" s="61"/>
      <c r="K13" s="59"/>
      <c r="L13" s="1"/>
      <c r="M13" s="1"/>
      <c r="N13" s="1"/>
      <c r="O13" s="1"/>
      <c r="P13" s="1"/>
      <c r="Q13" s="1"/>
      <c r="R13" s="1"/>
      <c r="S13" s="1"/>
      <c r="T13" s="1"/>
    </row>
    <row r="14" spans="1:20" ht="35.25" customHeight="1" x14ac:dyDescent="0.2">
      <c r="A14" s="20"/>
      <c r="B14" s="21"/>
      <c r="C14" s="134" t="s">
        <v>25</v>
      </c>
      <c r="D14" s="135"/>
      <c r="E14" s="136" t="s">
        <v>26</v>
      </c>
      <c r="F14" s="137"/>
      <c r="G14" s="138"/>
      <c r="H14" s="62" t="s">
        <v>27</v>
      </c>
      <c r="I14" s="63" t="s">
        <v>47</v>
      </c>
      <c r="J14" s="64">
        <f>A10-J8</f>
        <v>0</v>
      </c>
      <c r="K14" s="65" t="s">
        <v>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thickBot="1" x14ac:dyDescent="0.25">
      <c r="A15" s="22"/>
      <c r="B15" s="14"/>
      <c r="C15" s="145"/>
      <c r="D15" s="146"/>
      <c r="E15" s="66">
        <v>0</v>
      </c>
      <c r="F15" s="67" t="s">
        <v>0</v>
      </c>
      <c r="G15" s="68"/>
      <c r="H15" s="69"/>
      <c r="I15" s="70"/>
      <c r="J15" s="71" t="e">
        <f>(J14*1000/365)/$J$3</f>
        <v>#DIV/0!</v>
      </c>
      <c r="K15" s="65" t="s">
        <v>16</v>
      </c>
      <c r="L15" s="26"/>
      <c r="M15" s="1"/>
      <c r="N15" s="1"/>
      <c r="O15" s="1"/>
      <c r="P15" s="1"/>
      <c r="Q15" s="1"/>
      <c r="R15" s="1"/>
      <c r="S15" s="1"/>
      <c r="T15" s="1"/>
    </row>
    <row r="16" spans="1:20" ht="15" x14ac:dyDescent="0.2">
      <c r="A16" s="22"/>
      <c r="B16" s="14"/>
      <c r="C16" s="72"/>
      <c r="D16" s="73"/>
      <c r="E16" s="74" t="e">
        <f>E15/C10</f>
        <v>#DIV/0!</v>
      </c>
      <c r="F16" s="75" t="s">
        <v>29</v>
      </c>
      <c r="G16" s="68"/>
      <c r="H16" s="76" t="s">
        <v>30</v>
      </c>
      <c r="I16" s="77" t="s">
        <v>28</v>
      </c>
      <c r="J16" s="71" t="e">
        <f>J14*1000/(365*$D$3)</f>
        <v>#DIV/0!</v>
      </c>
      <c r="K16" s="65" t="s">
        <v>18</v>
      </c>
      <c r="L16" s="27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22"/>
      <c r="B17" s="14"/>
      <c r="C17" s="72"/>
      <c r="D17" s="73"/>
      <c r="E17" s="78" t="e">
        <f>(E15*1000/365)/$D$3</f>
        <v>#DIV/0!</v>
      </c>
      <c r="F17" s="67" t="s">
        <v>18</v>
      </c>
      <c r="G17" s="68"/>
      <c r="H17" s="79"/>
      <c r="I17" s="80"/>
      <c r="J17" s="71">
        <f>J14*1000/(365*24*3600)</f>
        <v>0</v>
      </c>
      <c r="K17" s="65" t="s">
        <v>24</v>
      </c>
      <c r="L17" s="26"/>
      <c r="M17" s="1"/>
      <c r="N17" s="1"/>
      <c r="O17" s="1"/>
      <c r="P17" s="1"/>
      <c r="Q17" s="1"/>
      <c r="R17" s="1"/>
      <c r="S17" s="1"/>
      <c r="T17" s="1"/>
    </row>
    <row r="18" spans="1:20" ht="21.75" customHeight="1" thickBot="1" x14ac:dyDescent="0.25">
      <c r="A18" s="22"/>
      <c r="B18" s="14"/>
      <c r="C18" s="72"/>
      <c r="D18" s="73"/>
      <c r="E18" s="78" t="e">
        <f>(E15*1000/365)/($J$3)</f>
        <v>#DIV/0!</v>
      </c>
      <c r="F18" s="67" t="s">
        <v>16</v>
      </c>
      <c r="G18" s="68"/>
      <c r="H18" s="69"/>
      <c r="I18" s="70"/>
      <c r="J18" s="81"/>
      <c r="K18" s="59"/>
      <c r="L18" s="26"/>
      <c r="M18" s="1"/>
      <c r="N18" s="1"/>
      <c r="O18" s="1"/>
      <c r="P18" s="1"/>
      <c r="Q18" s="1"/>
      <c r="R18" s="1"/>
      <c r="S18" s="1"/>
      <c r="T18" s="1"/>
    </row>
    <row r="19" spans="1:20" ht="15.75" x14ac:dyDescent="0.2">
      <c r="A19" s="22"/>
      <c r="B19" s="14"/>
      <c r="C19" s="72"/>
      <c r="D19" s="73"/>
      <c r="E19" s="150" t="s">
        <v>81</v>
      </c>
      <c r="F19" s="151"/>
      <c r="G19" s="82" t="e">
        <f>E15/C20</f>
        <v>#DIV/0!</v>
      </c>
      <c r="H19" s="76" t="s">
        <v>31</v>
      </c>
      <c r="I19" s="77" t="s">
        <v>28</v>
      </c>
      <c r="J19" s="71"/>
      <c r="K19" s="65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thickBot="1" x14ac:dyDescent="0.25">
      <c r="A20" s="22"/>
      <c r="B20" s="14"/>
      <c r="C20" s="83">
        <f>A10-C10</f>
        <v>0</v>
      </c>
      <c r="D20" s="84" t="s">
        <v>0</v>
      </c>
      <c r="E20" s="85"/>
      <c r="F20" s="86"/>
      <c r="G20" s="87"/>
      <c r="H20" s="69"/>
      <c r="I20" s="70"/>
      <c r="J20" s="88" t="e">
        <f>J14/A10</f>
        <v>#DIV/0!</v>
      </c>
      <c r="K20" s="89" t="s">
        <v>28</v>
      </c>
      <c r="L20" s="23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">
      <c r="A21" s="22"/>
      <c r="B21" s="14"/>
      <c r="C21" s="90"/>
      <c r="D21" s="84"/>
      <c r="E21" s="147" t="s">
        <v>32</v>
      </c>
      <c r="F21" s="148"/>
      <c r="G21" s="149"/>
      <c r="H21" s="76" t="s">
        <v>33</v>
      </c>
      <c r="I21" s="77" t="s">
        <v>34</v>
      </c>
      <c r="J21" s="88"/>
      <c r="K21" s="59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thickBot="1" x14ac:dyDescent="0.25">
      <c r="A22" s="22"/>
      <c r="B22" s="14"/>
      <c r="C22" s="90" t="e">
        <f>(C20*1000/365)/$J$3</f>
        <v>#DIV/0!</v>
      </c>
      <c r="D22" s="84" t="s">
        <v>16</v>
      </c>
      <c r="E22" s="147"/>
      <c r="F22" s="148"/>
      <c r="G22" s="149"/>
      <c r="H22" s="69"/>
      <c r="I22" s="91"/>
      <c r="J22" s="92"/>
      <c r="K22" s="59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">
      <c r="A23" s="22"/>
      <c r="B23" s="14"/>
      <c r="C23" s="83" t="e">
        <f>A12-C12</f>
        <v>#DIV/0!</v>
      </c>
      <c r="D23" s="84" t="s">
        <v>18</v>
      </c>
      <c r="E23" s="93">
        <f>A10-C10-E15</f>
        <v>0</v>
      </c>
      <c r="F23" s="67" t="s">
        <v>35</v>
      </c>
      <c r="G23" s="94"/>
      <c r="H23" s="76" t="s">
        <v>36</v>
      </c>
      <c r="I23" s="77" t="s">
        <v>34</v>
      </c>
      <c r="J23" s="92"/>
      <c r="K23" s="59"/>
      <c r="L23" s="1"/>
      <c r="M23" s="1"/>
      <c r="N23" s="1"/>
      <c r="O23" s="1"/>
      <c r="P23" s="1"/>
      <c r="Q23" s="1"/>
      <c r="R23" s="1"/>
      <c r="S23" s="1"/>
      <c r="T23" s="1"/>
    </row>
    <row r="24" spans="1:20" ht="16.5" thickBot="1" x14ac:dyDescent="0.25">
      <c r="A24" s="22"/>
      <c r="B24" s="14"/>
      <c r="C24" s="95" t="e">
        <f>C20*100/A10</f>
        <v>#DIV/0!</v>
      </c>
      <c r="D24" s="73" t="s">
        <v>28</v>
      </c>
      <c r="E24" s="96" t="e">
        <f>(E23*1000/365)*(24/$J$5)/$J$3</f>
        <v>#DIV/0!</v>
      </c>
      <c r="F24" s="67" t="s">
        <v>16</v>
      </c>
      <c r="G24" s="97" t="s">
        <v>37</v>
      </c>
      <c r="H24" s="69"/>
      <c r="I24" s="91"/>
      <c r="J24" s="92"/>
      <c r="K24" s="59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">
      <c r="A25" s="22"/>
      <c r="B25" s="14"/>
      <c r="C25" s="72"/>
      <c r="D25" s="73"/>
      <c r="E25" s="98" t="e">
        <f>E23/(365*J5)/H27</f>
        <v>#DIV/0!</v>
      </c>
      <c r="F25" s="99" t="s">
        <v>38</v>
      </c>
      <c r="G25" s="97" t="s">
        <v>37</v>
      </c>
      <c r="H25" s="76" t="s">
        <v>39</v>
      </c>
      <c r="I25" s="77" t="s">
        <v>34</v>
      </c>
      <c r="J25" s="92"/>
      <c r="K25" s="59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25">
      <c r="A26" s="24"/>
      <c r="B26" s="25"/>
      <c r="C26" s="100"/>
      <c r="D26" s="101"/>
      <c r="E26" s="102" t="e">
        <f>E23/A10</f>
        <v>#DIV/0!</v>
      </c>
      <c r="F26" s="103" t="s">
        <v>20</v>
      </c>
      <c r="G26" s="104"/>
      <c r="H26" s="105"/>
      <c r="I26" s="106"/>
      <c r="J26" s="107"/>
      <c r="K26" s="10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">
      <c r="A27" s="1"/>
      <c r="B27" s="1"/>
      <c r="C27" s="139" t="s">
        <v>40</v>
      </c>
      <c r="D27" s="139"/>
      <c r="E27" s="139"/>
      <c r="F27" s="140"/>
      <c r="G27" s="109" t="s">
        <v>41</v>
      </c>
      <c r="H27" s="110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75" customHeight="1" x14ac:dyDescent="0.35">
      <c r="A28" s="111" t="s">
        <v>82</v>
      </c>
      <c r="B28" s="47"/>
      <c r="C28" s="112"/>
      <c r="D28" s="47"/>
      <c r="E28" s="47"/>
      <c r="F28" s="47"/>
      <c r="G28" s="47"/>
      <c r="H28" s="47"/>
      <c r="I28" s="47"/>
      <c r="J28" s="47"/>
      <c r="K28" s="48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41"/>
      <c r="B29" s="141" t="s">
        <v>83</v>
      </c>
      <c r="C29" s="141"/>
      <c r="D29" s="141"/>
      <c r="E29" s="113">
        <v>0</v>
      </c>
      <c r="F29" s="114"/>
      <c r="G29" s="115"/>
      <c r="H29" s="115"/>
      <c r="I29" s="115"/>
      <c r="J29" s="115"/>
      <c r="K29" s="116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15"/>
      <c r="B30" s="141" t="s">
        <v>84</v>
      </c>
      <c r="C30" s="141"/>
      <c r="D30" s="141"/>
      <c r="E30" s="117">
        <f>(0.8*J3+25*H27)*E29*(365/1000)</f>
        <v>0</v>
      </c>
      <c r="F30" s="114"/>
      <c r="G30" s="115"/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18"/>
      <c r="B31" s="141" t="s">
        <v>85</v>
      </c>
      <c r="C31" s="141"/>
      <c r="D31" s="141"/>
      <c r="E31" s="119" t="e">
        <f>E23/E30</f>
        <v>#DIV/0!</v>
      </c>
      <c r="F31" s="114"/>
      <c r="G31" s="115"/>
      <c r="H31" s="115"/>
      <c r="I31" s="115"/>
      <c r="J31" s="115"/>
      <c r="K31" s="116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20"/>
      <c r="B32" s="121"/>
      <c r="C32" s="122"/>
      <c r="D32" s="121"/>
      <c r="E32" s="121"/>
      <c r="F32" s="121"/>
      <c r="G32" s="121"/>
      <c r="H32" s="121"/>
      <c r="I32" s="121"/>
      <c r="J32" s="121"/>
      <c r="K32" s="123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 x14ac:dyDescent="0.2">
      <c r="A33" s="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">
        <v>1</v>
      </c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9">
        <v>2</v>
      </c>
      <c r="B35" s="133" t="s">
        <v>44</v>
      </c>
      <c r="C35" s="133"/>
      <c r="D35" s="133"/>
      <c r="E35" s="133"/>
      <c r="F35" s="133"/>
      <c r="G35" s="133"/>
      <c r="H35" s="133"/>
      <c r="I35" s="133"/>
      <c r="J35" s="1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>
        <v>3</v>
      </c>
      <c r="B36" s="133" t="s">
        <v>45</v>
      </c>
      <c r="C36" s="133"/>
      <c r="D36" s="133"/>
      <c r="E36" s="133"/>
      <c r="F36" s="133"/>
      <c r="G36" s="133"/>
      <c r="H36" s="133"/>
      <c r="I36" s="133"/>
      <c r="J36" s="13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>
        <v>4</v>
      </c>
      <c r="B37" s="124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6">
    <mergeCell ref="A1:C1"/>
    <mergeCell ref="D1:F1"/>
    <mergeCell ref="A2:J2"/>
    <mergeCell ref="A3:C3"/>
    <mergeCell ref="D3:E3"/>
    <mergeCell ref="F3:I3"/>
    <mergeCell ref="E21:G22"/>
    <mergeCell ref="A5:C5"/>
    <mergeCell ref="D5:E5"/>
    <mergeCell ref="F5:I5"/>
    <mergeCell ref="A6:B9"/>
    <mergeCell ref="C6:D9"/>
    <mergeCell ref="E6:G6"/>
    <mergeCell ref="I7:I9"/>
    <mergeCell ref="E10:G10"/>
    <mergeCell ref="C14:D14"/>
    <mergeCell ref="E14:G14"/>
    <mergeCell ref="C15:D15"/>
    <mergeCell ref="E19:F19"/>
    <mergeCell ref="B36:J36"/>
    <mergeCell ref="C27:F27"/>
    <mergeCell ref="B29:D29"/>
    <mergeCell ref="B30:D30"/>
    <mergeCell ref="B31:D31"/>
    <mergeCell ref="B34:J34"/>
    <mergeCell ref="B35:J3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E49" sqref="E49"/>
    </sheetView>
  </sheetViews>
  <sheetFormatPr defaultRowHeight="12.75" x14ac:dyDescent="0.2"/>
  <cols>
    <col min="1" max="1" width="20.140625" customWidth="1"/>
    <col min="2" max="2" width="16.42578125" customWidth="1"/>
    <col min="3" max="3" width="17.85546875" customWidth="1"/>
    <col min="4" max="4" width="15.5703125" customWidth="1"/>
    <col min="5" max="5" width="16.5703125" customWidth="1"/>
    <col min="6" max="6" width="18" customWidth="1"/>
    <col min="7" max="7" width="15.42578125" customWidth="1"/>
    <col min="8" max="8" width="23.85546875" customWidth="1"/>
    <col min="9" max="9" width="16.42578125" customWidth="1"/>
    <col min="10" max="10" width="19.28515625" customWidth="1"/>
    <col min="11" max="11" width="11" customWidth="1"/>
    <col min="12" max="12" width="11.7109375" bestFit="1" customWidth="1"/>
  </cols>
  <sheetData>
    <row r="1" spans="1:20" ht="27.75" customHeight="1" thickBot="1" x14ac:dyDescent="0.3">
      <c r="A1" s="166" t="s">
        <v>4</v>
      </c>
      <c r="B1" s="166"/>
      <c r="C1" s="166"/>
      <c r="D1" s="142" t="s">
        <v>59</v>
      </c>
      <c r="E1" s="143"/>
      <c r="F1" s="144"/>
      <c r="G1" s="28"/>
      <c r="H1" s="28"/>
      <c r="I1" s="28"/>
      <c r="J1" s="28"/>
      <c r="K1" s="28"/>
    </row>
    <row r="2" spans="1:20" ht="54.75" customHeight="1" thickBot="1" x14ac:dyDescent="0.25">
      <c r="A2" s="167" t="s">
        <v>76</v>
      </c>
      <c r="B2" s="168"/>
      <c r="C2" s="168"/>
      <c r="D2" s="169"/>
      <c r="E2" s="169"/>
      <c r="F2" s="169"/>
      <c r="G2" s="168"/>
      <c r="H2" s="168"/>
      <c r="I2" s="168"/>
      <c r="J2" s="168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thickBot="1" x14ac:dyDescent="0.25">
      <c r="A3" s="170" t="s">
        <v>5</v>
      </c>
      <c r="B3" s="152"/>
      <c r="C3" s="171"/>
      <c r="D3" s="172">
        <v>0</v>
      </c>
      <c r="E3" s="173"/>
      <c r="F3" s="155" t="s">
        <v>6</v>
      </c>
      <c r="G3" s="156"/>
      <c r="H3" s="156"/>
      <c r="I3" s="157"/>
      <c r="J3" s="54">
        <v>0</v>
      </c>
      <c r="K3" s="53"/>
      <c r="L3" s="1"/>
      <c r="M3" s="1"/>
      <c r="N3" s="1"/>
      <c r="O3" s="1"/>
      <c r="P3" s="1"/>
      <c r="Q3" s="1"/>
      <c r="R3" s="1"/>
      <c r="S3" s="1"/>
      <c r="T3" s="1"/>
    </row>
    <row r="4" spans="1:20" ht="4.5" customHeight="1" thickBot="1" x14ac:dyDescent="0.25">
      <c r="K4" s="53"/>
      <c r="L4" s="1"/>
      <c r="M4" s="1"/>
      <c r="N4" s="1"/>
      <c r="O4" s="1"/>
      <c r="P4" s="1"/>
      <c r="Q4" s="1"/>
      <c r="R4" s="1"/>
      <c r="S4" s="1"/>
      <c r="T4" s="1"/>
    </row>
    <row r="5" spans="1:20" ht="36.75" customHeight="1" thickBot="1" x14ac:dyDescent="0.25">
      <c r="A5" s="152" t="s">
        <v>7</v>
      </c>
      <c r="B5" s="152"/>
      <c r="C5" s="152"/>
      <c r="D5" s="153" t="e">
        <f>C12+E17</f>
        <v>#DIV/0!</v>
      </c>
      <c r="E5" s="154"/>
      <c r="F5" s="155" t="s">
        <v>8</v>
      </c>
      <c r="G5" s="156"/>
      <c r="H5" s="156"/>
      <c r="I5" s="157"/>
      <c r="J5" s="55">
        <v>0</v>
      </c>
      <c r="K5" s="53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2">
      <c r="A6" s="158" t="s">
        <v>9</v>
      </c>
      <c r="B6" s="159"/>
      <c r="C6" s="158" t="s">
        <v>10</v>
      </c>
      <c r="D6" s="162"/>
      <c r="E6" s="130" t="s">
        <v>11</v>
      </c>
      <c r="F6" s="131"/>
      <c r="G6" s="132"/>
      <c r="H6" s="10" t="s">
        <v>12</v>
      </c>
      <c r="I6" s="11" t="s">
        <v>13</v>
      </c>
      <c r="J6" s="49" t="s">
        <v>14</v>
      </c>
      <c r="K6" s="5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 x14ac:dyDescent="0.25">
      <c r="A7" s="160"/>
      <c r="B7" s="161"/>
      <c r="C7" s="160"/>
      <c r="D7" s="163"/>
      <c r="E7" s="12">
        <f>H7+H9</f>
        <v>0</v>
      </c>
      <c r="F7" s="13" t="s">
        <v>0</v>
      </c>
      <c r="G7" s="14"/>
      <c r="H7" s="56">
        <v>0</v>
      </c>
      <c r="I7" s="164" t="s">
        <v>15</v>
      </c>
      <c r="J7" s="50"/>
      <c r="K7" s="53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160"/>
      <c r="B8" s="161"/>
      <c r="C8" s="160"/>
      <c r="D8" s="163"/>
      <c r="E8" s="15" t="e">
        <f>(E7*1000/365)/$J$3</f>
        <v>#DIV/0!</v>
      </c>
      <c r="F8" s="13" t="s">
        <v>16</v>
      </c>
      <c r="G8" s="14"/>
      <c r="H8" s="10" t="s">
        <v>17</v>
      </c>
      <c r="I8" s="164"/>
      <c r="J8" s="51">
        <f>E7</f>
        <v>0</v>
      </c>
      <c r="K8" s="53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thickBot="1" x14ac:dyDescent="0.25">
      <c r="A9" s="160"/>
      <c r="B9" s="161"/>
      <c r="C9" s="160"/>
      <c r="D9" s="163"/>
      <c r="E9" s="15" t="e">
        <f>E7*1000/(365*$D$3)</f>
        <v>#DIV/0!</v>
      </c>
      <c r="F9" s="13" t="s">
        <v>18</v>
      </c>
      <c r="G9" s="14"/>
      <c r="H9" s="56">
        <v>0</v>
      </c>
      <c r="I9" s="165"/>
      <c r="J9" s="52" t="s">
        <v>0</v>
      </c>
      <c r="K9" s="53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7">
        <v>0</v>
      </c>
      <c r="B10" s="14" t="s">
        <v>0</v>
      </c>
      <c r="C10" s="12">
        <f>E7+E11</f>
        <v>0</v>
      </c>
      <c r="D10" s="14" t="s">
        <v>0</v>
      </c>
      <c r="E10" s="130" t="s">
        <v>19</v>
      </c>
      <c r="F10" s="131"/>
      <c r="G10" s="132"/>
      <c r="H10" s="10" t="s">
        <v>80</v>
      </c>
      <c r="I10" s="16" t="s">
        <v>20</v>
      </c>
      <c r="J10" s="58" t="s">
        <v>21</v>
      </c>
      <c r="K10" s="59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25">
      <c r="A11" s="15" t="e">
        <f>(A10*1000/365)/$J$3</f>
        <v>#DIV/0!</v>
      </c>
      <c r="B11" s="14" t="s">
        <v>16</v>
      </c>
      <c r="C11" s="15" t="e">
        <f>E8+E12</f>
        <v>#DIV/0!</v>
      </c>
      <c r="D11" s="14" t="s">
        <v>16</v>
      </c>
      <c r="E11" s="12">
        <f>H11+H13</f>
        <v>0</v>
      </c>
      <c r="F11" s="13" t="s">
        <v>0</v>
      </c>
      <c r="G11" s="14"/>
      <c r="H11" s="56">
        <v>0</v>
      </c>
      <c r="I11" s="17" t="e">
        <f>H11/A10</f>
        <v>#DIV/0!</v>
      </c>
      <c r="J11" s="60" t="s">
        <v>22</v>
      </c>
      <c r="K11" s="59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12" t="e">
        <f>A10*1000/(365*$D$3)</f>
        <v>#DIV/0!</v>
      </c>
      <c r="B12" s="14" t="s">
        <v>18</v>
      </c>
      <c r="C12" s="12" t="e">
        <f>E9+E13</f>
        <v>#DIV/0!</v>
      </c>
      <c r="D12" s="14" t="s">
        <v>18</v>
      </c>
      <c r="E12" s="18" t="e">
        <f>(E11*1000/365)/$J$3</f>
        <v>#DIV/0!</v>
      </c>
      <c r="F12" s="13" t="s">
        <v>16</v>
      </c>
      <c r="G12" s="14"/>
      <c r="H12" s="10" t="s">
        <v>46</v>
      </c>
      <c r="I12" s="16" t="s">
        <v>20</v>
      </c>
      <c r="J12" s="60" t="s">
        <v>23</v>
      </c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25">
      <c r="A13" s="15">
        <f>A10*1000/(365*24*3600)</f>
        <v>0</v>
      </c>
      <c r="B13" s="14" t="s">
        <v>24</v>
      </c>
      <c r="C13" s="15">
        <f>C10*1000/(365*24*3600)</f>
        <v>0</v>
      </c>
      <c r="D13" s="14" t="s">
        <v>24</v>
      </c>
      <c r="E13" s="19" t="e">
        <f>E11*1000/(365*$D$3)</f>
        <v>#DIV/0!</v>
      </c>
      <c r="F13" s="13" t="s">
        <v>18</v>
      </c>
      <c r="G13" s="14"/>
      <c r="H13" s="56">
        <v>0</v>
      </c>
      <c r="I13" s="17" t="e">
        <f>H13/A10</f>
        <v>#DIV/0!</v>
      </c>
      <c r="J13" s="61"/>
      <c r="K13" s="59"/>
      <c r="L13" s="1"/>
      <c r="M13" s="1"/>
      <c r="N13" s="1"/>
      <c r="O13" s="1"/>
      <c r="P13" s="1"/>
      <c r="Q13" s="1"/>
      <c r="R13" s="1"/>
      <c r="S13" s="1"/>
      <c r="T13" s="1"/>
    </row>
    <row r="14" spans="1:20" ht="35.25" customHeight="1" x14ac:dyDescent="0.2">
      <c r="A14" s="20"/>
      <c r="B14" s="21"/>
      <c r="C14" s="134" t="s">
        <v>25</v>
      </c>
      <c r="D14" s="135"/>
      <c r="E14" s="136" t="s">
        <v>26</v>
      </c>
      <c r="F14" s="137"/>
      <c r="G14" s="138"/>
      <c r="H14" s="62" t="s">
        <v>27</v>
      </c>
      <c r="I14" s="63" t="s">
        <v>47</v>
      </c>
      <c r="J14" s="64">
        <f>A10-J8</f>
        <v>0</v>
      </c>
      <c r="K14" s="65" t="s">
        <v>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thickBot="1" x14ac:dyDescent="0.25">
      <c r="A15" s="22"/>
      <c r="B15" s="14"/>
      <c r="C15" s="145"/>
      <c r="D15" s="146"/>
      <c r="E15" s="66">
        <v>0</v>
      </c>
      <c r="F15" s="67" t="s">
        <v>0</v>
      </c>
      <c r="G15" s="68"/>
      <c r="H15" s="69"/>
      <c r="I15" s="70"/>
      <c r="J15" s="71" t="e">
        <f>(J14*1000/365)/$J$3</f>
        <v>#DIV/0!</v>
      </c>
      <c r="K15" s="65" t="s">
        <v>16</v>
      </c>
      <c r="L15" s="26"/>
      <c r="M15" s="1"/>
      <c r="N15" s="1"/>
      <c r="O15" s="1"/>
      <c r="P15" s="1"/>
      <c r="Q15" s="1"/>
      <c r="R15" s="1"/>
      <c r="S15" s="1"/>
      <c r="T15" s="1"/>
    </row>
    <row r="16" spans="1:20" ht="15" x14ac:dyDescent="0.2">
      <c r="A16" s="22"/>
      <c r="B16" s="14"/>
      <c r="C16" s="72"/>
      <c r="D16" s="73"/>
      <c r="E16" s="74" t="e">
        <f>E15/C10</f>
        <v>#DIV/0!</v>
      </c>
      <c r="F16" s="75" t="s">
        <v>29</v>
      </c>
      <c r="G16" s="68"/>
      <c r="H16" s="76" t="s">
        <v>30</v>
      </c>
      <c r="I16" s="77" t="s">
        <v>28</v>
      </c>
      <c r="J16" s="71" t="e">
        <f>J14*1000/(365*$D$3)</f>
        <v>#DIV/0!</v>
      </c>
      <c r="K16" s="65" t="s">
        <v>18</v>
      </c>
      <c r="L16" s="27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22"/>
      <c r="B17" s="14"/>
      <c r="C17" s="72"/>
      <c r="D17" s="73"/>
      <c r="E17" s="78" t="e">
        <f>(E15*1000/365)/$D$3</f>
        <v>#DIV/0!</v>
      </c>
      <c r="F17" s="67" t="s">
        <v>18</v>
      </c>
      <c r="G17" s="68"/>
      <c r="H17" s="79"/>
      <c r="I17" s="80"/>
      <c r="J17" s="71">
        <f>J14*1000/(365*24*3600)</f>
        <v>0</v>
      </c>
      <c r="K17" s="65" t="s">
        <v>24</v>
      </c>
      <c r="L17" s="26"/>
      <c r="M17" s="1"/>
      <c r="N17" s="1"/>
      <c r="O17" s="1"/>
      <c r="P17" s="1"/>
      <c r="Q17" s="1"/>
      <c r="R17" s="1"/>
      <c r="S17" s="1"/>
      <c r="T17" s="1"/>
    </row>
    <row r="18" spans="1:20" ht="21.75" customHeight="1" thickBot="1" x14ac:dyDescent="0.25">
      <c r="A18" s="22"/>
      <c r="B18" s="14"/>
      <c r="C18" s="72"/>
      <c r="D18" s="73"/>
      <c r="E18" s="78" t="e">
        <f>(E15*1000/365)/($J$3)</f>
        <v>#DIV/0!</v>
      </c>
      <c r="F18" s="67" t="s">
        <v>16</v>
      </c>
      <c r="G18" s="68"/>
      <c r="H18" s="69"/>
      <c r="I18" s="70"/>
      <c r="J18" s="81"/>
      <c r="K18" s="59"/>
      <c r="L18" s="26"/>
      <c r="M18" s="1"/>
      <c r="N18" s="1"/>
      <c r="O18" s="1"/>
      <c r="P18" s="1"/>
      <c r="Q18" s="1"/>
      <c r="R18" s="1"/>
      <c r="S18" s="1"/>
      <c r="T18" s="1"/>
    </row>
    <row r="19" spans="1:20" ht="15.75" x14ac:dyDescent="0.2">
      <c r="A19" s="22"/>
      <c r="B19" s="14"/>
      <c r="C19" s="72"/>
      <c r="D19" s="73"/>
      <c r="E19" s="150" t="s">
        <v>81</v>
      </c>
      <c r="F19" s="151"/>
      <c r="G19" s="82" t="e">
        <f>E15/C20</f>
        <v>#DIV/0!</v>
      </c>
      <c r="H19" s="76" t="s">
        <v>31</v>
      </c>
      <c r="I19" s="77" t="s">
        <v>28</v>
      </c>
      <c r="J19" s="71"/>
      <c r="K19" s="65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thickBot="1" x14ac:dyDescent="0.25">
      <c r="A20" s="22"/>
      <c r="B20" s="14"/>
      <c r="C20" s="83">
        <f>A10-C10</f>
        <v>0</v>
      </c>
      <c r="D20" s="84" t="s">
        <v>0</v>
      </c>
      <c r="E20" s="85"/>
      <c r="F20" s="86"/>
      <c r="G20" s="87"/>
      <c r="H20" s="69"/>
      <c r="I20" s="70"/>
      <c r="J20" s="88" t="e">
        <f>J14/A10</f>
        <v>#DIV/0!</v>
      </c>
      <c r="K20" s="89" t="s">
        <v>28</v>
      </c>
      <c r="L20" s="23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">
      <c r="A21" s="22"/>
      <c r="B21" s="14"/>
      <c r="C21" s="90"/>
      <c r="D21" s="84"/>
      <c r="E21" s="147" t="s">
        <v>32</v>
      </c>
      <c r="F21" s="148"/>
      <c r="G21" s="149"/>
      <c r="H21" s="76" t="s">
        <v>33</v>
      </c>
      <c r="I21" s="77" t="s">
        <v>34</v>
      </c>
      <c r="J21" s="88"/>
      <c r="K21" s="59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thickBot="1" x14ac:dyDescent="0.25">
      <c r="A22" s="22"/>
      <c r="B22" s="14"/>
      <c r="C22" s="90" t="e">
        <f>(C20*1000/365)/$J$3</f>
        <v>#DIV/0!</v>
      </c>
      <c r="D22" s="84" t="s">
        <v>16</v>
      </c>
      <c r="E22" s="147"/>
      <c r="F22" s="148"/>
      <c r="G22" s="149"/>
      <c r="H22" s="69"/>
      <c r="I22" s="91"/>
      <c r="J22" s="92"/>
      <c r="K22" s="59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">
      <c r="A23" s="22"/>
      <c r="B23" s="14"/>
      <c r="C23" s="83" t="e">
        <f>A12-C12</f>
        <v>#DIV/0!</v>
      </c>
      <c r="D23" s="84" t="s">
        <v>18</v>
      </c>
      <c r="E23" s="93">
        <f>A10-C10-E15</f>
        <v>0</v>
      </c>
      <c r="F23" s="67" t="s">
        <v>35</v>
      </c>
      <c r="G23" s="94"/>
      <c r="H23" s="76" t="s">
        <v>36</v>
      </c>
      <c r="I23" s="77" t="s">
        <v>34</v>
      </c>
      <c r="J23" s="92"/>
      <c r="K23" s="59"/>
      <c r="L23" s="1"/>
      <c r="M23" s="1"/>
      <c r="N23" s="1"/>
      <c r="O23" s="1"/>
      <c r="P23" s="1"/>
      <c r="Q23" s="1"/>
      <c r="R23" s="1"/>
      <c r="S23" s="1"/>
      <c r="T23" s="1"/>
    </row>
    <row r="24" spans="1:20" ht="16.5" thickBot="1" x14ac:dyDescent="0.25">
      <c r="A24" s="22"/>
      <c r="B24" s="14"/>
      <c r="C24" s="95" t="e">
        <f>C20*100/A10</f>
        <v>#DIV/0!</v>
      </c>
      <c r="D24" s="73" t="s">
        <v>28</v>
      </c>
      <c r="E24" s="96" t="e">
        <f>(E23*1000/365)*(24/$J$5)/$J$3</f>
        <v>#DIV/0!</v>
      </c>
      <c r="F24" s="67" t="s">
        <v>16</v>
      </c>
      <c r="G24" s="97" t="s">
        <v>37</v>
      </c>
      <c r="H24" s="69"/>
      <c r="I24" s="91"/>
      <c r="J24" s="92"/>
      <c r="K24" s="59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">
      <c r="A25" s="22"/>
      <c r="B25" s="14"/>
      <c r="C25" s="72"/>
      <c r="D25" s="73"/>
      <c r="E25" s="98" t="e">
        <f>E23/(365*J5)/H27</f>
        <v>#DIV/0!</v>
      </c>
      <c r="F25" s="99" t="s">
        <v>38</v>
      </c>
      <c r="G25" s="97" t="s">
        <v>37</v>
      </c>
      <c r="H25" s="76" t="s">
        <v>39</v>
      </c>
      <c r="I25" s="77" t="s">
        <v>34</v>
      </c>
      <c r="J25" s="92"/>
      <c r="K25" s="59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25">
      <c r="A26" s="24"/>
      <c r="B26" s="25"/>
      <c r="C26" s="100"/>
      <c r="D26" s="101"/>
      <c r="E26" s="102" t="e">
        <f>E23/A10</f>
        <v>#DIV/0!</v>
      </c>
      <c r="F26" s="103" t="s">
        <v>20</v>
      </c>
      <c r="G26" s="104"/>
      <c r="H26" s="105"/>
      <c r="I26" s="106"/>
      <c r="J26" s="107"/>
      <c r="K26" s="10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">
      <c r="A27" s="1"/>
      <c r="B27" s="1"/>
      <c r="C27" s="139" t="s">
        <v>40</v>
      </c>
      <c r="D27" s="139"/>
      <c r="E27" s="139"/>
      <c r="F27" s="140"/>
      <c r="G27" s="109" t="s">
        <v>41</v>
      </c>
      <c r="H27" s="110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75" customHeight="1" x14ac:dyDescent="0.35">
      <c r="A28" s="111" t="s">
        <v>82</v>
      </c>
      <c r="B28" s="47"/>
      <c r="C28" s="112"/>
      <c r="D28" s="47"/>
      <c r="E28" s="47"/>
      <c r="F28" s="47"/>
      <c r="G28" s="47"/>
      <c r="H28" s="47"/>
      <c r="I28" s="47"/>
      <c r="J28" s="47"/>
      <c r="K28" s="48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41"/>
      <c r="B29" s="141" t="s">
        <v>83</v>
      </c>
      <c r="C29" s="141"/>
      <c r="D29" s="141"/>
      <c r="E29" s="113">
        <v>0</v>
      </c>
      <c r="F29" s="114"/>
      <c r="G29" s="115"/>
      <c r="H29" s="115"/>
      <c r="I29" s="115"/>
      <c r="J29" s="115"/>
      <c r="K29" s="116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15"/>
      <c r="B30" s="141" t="s">
        <v>84</v>
      </c>
      <c r="C30" s="141"/>
      <c r="D30" s="141"/>
      <c r="E30" s="117">
        <f>(0.8*J3+25*H27)*E29*(365/1000)</f>
        <v>0</v>
      </c>
      <c r="F30" s="114"/>
      <c r="G30" s="115"/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18"/>
      <c r="B31" s="141" t="s">
        <v>85</v>
      </c>
      <c r="C31" s="141"/>
      <c r="D31" s="141"/>
      <c r="E31" s="119" t="e">
        <f>E23/E30</f>
        <v>#DIV/0!</v>
      </c>
      <c r="F31" s="114"/>
      <c r="G31" s="115"/>
      <c r="H31" s="115"/>
      <c r="I31" s="115"/>
      <c r="J31" s="115"/>
      <c r="K31" s="116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20"/>
      <c r="B32" s="121"/>
      <c r="C32" s="122"/>
      <c r="D32" s="121"/>
      <c r="E32" s="121"/>
      <c r="F32" s="121"/>
      <c r="G32" s="121"/>
      <c r="H32" s="121"/>
      <c r="I32" s="121"/>
      <c r="J32" s="121"/>
      <c r="K32" s="123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 x14ac:dyDescent="0.2">
      <c r="A33" s="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">
        <v>1</v>
      </c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9">
        <v>2</v>
      </c>
      <c r="B35" s="133" t="s">
        <v>44</v>
      </c>
      <c r="C35" s="133"/>
      <c r="D35" s="133"/>
      <c r="E35" s="133"/>
      <c r="F35" s="133"/>
      <c r="G35" s="133"/>
      <c r="H35" s="133"/>
      <c r="I35" s="133"/>
      <c r="J35" s="1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>
        <v>3</v>
      </c>
      <c r="B36" s="133" t="s">
        <v>45</v>
      </c>
      <c r="C36" s="133"/>
      <c r="D36" s="133"/>
      <c r="E36" s="133"/>
      <c r="F36" s="133"/>
      <c r="G36" s="133"/>
      <c r="H36" s="133"/>
      <c r="I36" s="133"/>
      <c r="J36" s="13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>
        <v>4</v>
      </c>
      <c r="B37" s="124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6">
    <mergeCell ref="A1:C1"/>
    <mergeCell ref="D1:F1"/>
    <mergeCell ref="A2:J2"/>
    <mergeCell ref="A3:C3"/>
    <mergeCell ref="D3:E3"/>
    <mergeCell ref="F3:I3"/>
    <mergeCell ref="E21:G22"/>
    <mergeCell ref="A5:C5"/>
    <mergeCell ref="D5:E5"/>
    <mergeCell ref="F5:I5"/>
    <mergeCell ref="A6:B9"/>
    <mergeCell ref="C6:D9"/>
    <mergeCell ref="E6:G6"/>
    <mergeCell ref="I7:I9"/>
    <mergeCell ref="E10:G10"/>
    <mergeCell ref="C14:D14"/>
    <mergeCell ref="E14:G14"/>
    <mergeCell ref="C15:D15"/>
    <mergeCell ref="E19:F19"/>
    <mergeCell ref="B36:J36"/>
    <mergeCell ref="C27:F27"/>
    <mergeCell ref="B29:D29"/>
    <mergeCell ref="B30:D30"/>
    <mergeCell ref="B31:D31"/>
    <mergeCell ref="B34:J34"/>
    <mergeCell ref="B35:J3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0" zoomScale="70" zoomScaleNormal="70" workbookViewId="0">
      <selection activeCell="E49" sqref="E49"/>
    </sheetView>
  </sheetViews>
  <sheetFormatPr defaultRowHeight="12.75" x14ac:dyDescent="0.2"/>
  <cols>
    <col min="1" max="1" width="20.140625" customWidth="1"/>
    <col min="2" max="2" width="16.42578125" customWidth="1"/>
    <col min="3" max="3" width="17.85546875" customWidth="1"/>
    <col min="4" max="4" width="15.5703125" customWidth="1"/>
    <col min="5" max="5" width="16.5703125" customWidth="1"/>
    <col min="6" max="6" width="18" customWidth="1"/>
    <col min="7" max="7" width="15.42578125" customWidth="1"/>
    <col min="8" max="8" width="23.85546875" customWidth="1"/>
    <col min="9" max="9" width="16.42578125" customWidth="1"/>
    <col min="10" max="10" width="19.28515625" customWidth="1"/>
    <col min="11" max="11" width="11" customWidth="1"/>
    <col min="12" max="12" width="11.7109375" bestFit="1" customWidth="1"/>
  </cols>
  <sheetData>
    <row r="1" spans="1:20" ht="27.75" customHeight="1" thickBot="1" x14ac:dyDescent="0.3">
      <c r="A1" s="166" t="s">
        <v>4</v>
      </c>
      <c r="B1" s="166"/>
      <c r="C1" s="166"/>
      <c r="D1" s="142" t="s">
        <v>60</v>
      </c>
      <c r="E1" s="143"/>
      <c r="F1" s="144"/>
      <c r="G1" s="28"/>
      <c r="H1" s="28"/>
      <c r="I1" s="28"/>
      <c r="J1" s="28"/>
      <c r="K1" s="28"/>
    </row>
    <row r="2" spans="1:20" ht="54.75" customHeight="1" thickBot="1" x14ac:dyDescent="0.25">
      <c r="A2" s="167" t="s">
        <v>76</v>
      </c>
      <c r="B2" s="168"/>
      <c r="C2" s="168"/>
      <c r="D2" s="169"/>
      <c r="E2" s="169"/>
      <c r="F2" s="169"/>
      <c r="G2" s="168"/>
      <c r="H2" s="168"/>
      <c r="I2" s="168"/>
      <c r="J2" s="168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thickBot="1" x14ac:dyDescent="0.25">
      <c r="A3" s="170" t="s">
        <v>5</v>
      </c>
      <c r="B3" s="152"/>
      <c r="C3" s="171"/>
      <c r="D3" s="172">
        <v>0</v>
      </c>
      <c r="E3" s="173"/>
      <c r="F3" s="155" t="s">
        <v>6</v>
      </c>
      <c r="G3" s="156"/>
      <c r="H3" s="156"/>
      <c r="I3" s="157"/>
      <c r="J3" s="54">
        <v>0</v>
      </c>
      <c r="K3" s="53"/>
      <c r="L3" s="1"/>
      <c r="M3" s="1"/>
      <c r="N3" s="1"/>
      <c r="O3" s="1"/>
      <c r="P3" s="1"/>
      <c r="Q3" s="1"/>
      <c r="R3" s="1"/>
      <c r="S3" s="1"/>
      <c r="T3" s="1"/>
    </row>
    <row r="4" spans="1:20" ht="4.5" customHeight="1" thickBot="1" x14ac:dyDescent="0.25">
      <c r="K4" s="53"/>
      <c r="L4" s="1"/>
      <c r="M4" s="1"/>
      <c r="N4" s="1"/>
      <c r="O4" s="1"/>
      <c r="P4" s="1"/>
      <c r="Q4" s="1"/>
      <c r="R4" s="1"/>
      <c r="S4" s="1"/>
      <c r="T4" s="1"/>
    </row>
    <row r="5" spans="1:20" ht="36.75" customHeight="1" thickBot="1" x14ac:dyDescent="0.25">
      <c r="A5" s="152" t="s">
        <v>7</v>
      </c>
      <c r="B5" s="152"/>
      <c r="C5" s="152"/>
      <c r="D5" s="153" t="e">
        <f>C12+E17</f>
        <v>#DIV/0!</v>
      </c>
      <c r="E5" s="154"/>
      <c r="F5" s="155" t="s">
        <v>8</v>
      </c>
      <c r="G5" s="156"/>
      <c r="H5" s="156"/>
      <c r="I5" s="157"/>
      <c r="J5" s="55">
        <v>0</v>
      </c>
      <c r="K5" s="53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2">
      <c r="A6" s="158" t="s">
        <v>9</v>
      </c>
      <c r="B6" s="159"/>
      <c r="C6" s="158" t="s">
        <v>10</v>
      </c>
      <c r="D6" s="162"/>
      <c r="E6" s="130" t="s">
        <v>11</v>
      </c>
      <c r="F6" s="131"/>
      <c r="G6" s="132"/>
      <c r="H6" s="10" t="s">
        <v>12</v>
      </c>
      <c r="I6" s="11" t="s">
        <v>13</v>
      </c>
      <c r="J6" s="49" t="s">
        <v>14</v>
      </c>
      <c r="K6" s="5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 x14ac:dyDescent="0.25">
      <c r="A7" s="160"/>
      <c r="B7" s="161"/>
      <c r="C7" s="160"/>
      <c r="D7" s="163"/>
      <c r="E7" s="12">
        <f>H7+H9</f>
        <v>0</v>
      </c>
      <c r="F7" s="13" t="s">
        <v>0</v>
      </c>
      <c r="G7" s="14"/>
      <c r="H7" s="56">
        <v>0</v>
      </c>
      <c r="I7" s="164" t="s">
        <v>15</v>
      </c>
      <c r="J7" s="50"/>
      <c r="K7" s="53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160"/>
      <c r="B8" s="161"/>
      <c r="C8" s="160"/>
      <c r="D8" s="163"/>
      <c r="E8" s="15" t="e">
        <f>(E7*1000/365)/$J$3</f>
        <v>#DIV/0!</v>
      </c>
      <c r="F8" s="13" t="s">
        <v>16</v>
      </c>
      <c r="G8" s="14"/>
      <c r="H8" s="10" t="s">
        <v>17</v>
      </c>
      <c r="I8" s="164"/>
      <c r="J8" s="51">
        <f>E7</f>
        <v>0</v>
      </c>
      <c r="K8" s="53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thickBot="1" x14ac:dyDescent="0.25">
      <c r="A9" s="160"/>
      <c r="B9" s="161"/>
      <c r="C9" s="160"/>
      <c r="D9" s="163"/>
      <c r="E9" s="15" t="e">
        <f>E7*1000/(365*$D$3)</f>
        <v>#DIV/0!</v>
      </c>
      <c r="F9" s="13" t="s">
        <v>18</v>
      </c>
      <c r="G9" s="14"/>
      <c r="H9" s="56">
        <v>0</v>
      </c>
      <c r="I9" s="165"/>
      <c r="J9" s="52" t="s">
        <v>0</v>
      </c>
      <c r="K9" s="53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7">
        <v>0</v>
      </c>
      <c r="B10" s="14" t="s">
        <v>0</v>
      </c>
      <c r="C10" s="12">
        <f>E7+E11</f>
        <v>0</v>
      </c>
      <c r="D10" s="14" t="s">
        <v>0</v>
      </c>
      <c r="E10" s="130" t="s">
        <v>19</v>
      </c>
      <c r="F10" s="131"/>
      <c r="G10" s="132"/>
      <c r="H10" s="10" t="s">
        <v>80</v>
      </c>
      <c r="I10" s="16" t="s">
        <v>20</v>
      </c>
      <c r="J10" s="58" t="s">
        <v>21</v>
      </c>
      <c r="K10" s="59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25">
      <c r="A11" s="15" t="e">
        <f>(A10*1000/365)/$J$3</f>
        <v>#DIV/0!</v>
      </c>
      <c r="B11" s="14" t="s">
        <v>16</v>
      </c>
      <c r="C11" s="15" t="e">
        <f>E8+E12</f>
        <v>#DIV/0!</v>
      </c>
      <c r="D11" s="14" t="s">
        <v>16</v>
      </c>
      <c r="E11" s="12">
        <f>H11+H13</f>
        <v>0</v>
      </c>
      <c r="F11" s="13" t="s">
        <v>0</v>
      </c>
      <c r="G11" s="14"/>
      <c r="H11" s="56">
        <v>0</v>
      </c>
      <c r="I11" s="17" t="e">
        <f>H11/A10</f>
        <v>#DIV/0!</v>
      </c>
      <c r="J11" s="60" t="s">
        <v>22</v>
      </c>
      <c r="K11" s="59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12" t="e">
        <f>A10*1000/(365*$D$3)</f>
        <v>#DIV/0!</v>
      </c>
      <c r="B12" s="14" t="s">
        <v>18</v>
      </c>
      <c r="C12" s="12" t="e">
        <f>E9+E13</f>
        <v>#DIV/0!</v>
      </c>
      <c r="D12" s="14" t="s">
        <v>18</v>
      </c>
      <c r="E12" s="18" t="e">
        <f>(E11*1000/365)/$J$3</f>
        <v>#DIV/0!</v>
      </c>
      <c r="F12" s="13" t="s">
        <v>16</v>
      </c>
      <c r="G12" s="14"/>
      <c r="H12" s="10" t="s">
        <v>46</v>
      </c>
      <c r="I12" s="16" t="s">
        <v>20</v>
      </c>
      <c r="J12" s="60" t="s">
        <v>23</v>
      </c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25">
      <c r="A13" s="15">
        <f>A10*1000/(365*24*3600)</f>
        <v>0</v>
      </c>
      <c r="B13" s="14" t="s">
        <v>24</v>
      </c>
      <c r="C13" s="15">
        <f>C10*1000/(365*24*3600)</f>
        <v>0</v>
      </c>
      <c r="D13" s="14" t="s">
        <v>24</v>
      </c>
      <c r="E13" s="19" t="e">
        <f>E11*1000/(365*$D$3)</f>
        <v>#DIV/0!</v>
      </c>
      <c r="F13" s="13" t="s">
        <v>18</v>
      </c>
      <c r="G13" s="14"/>
      <c r="H13" s="56">
        <v>0</v>
      </c>
      <c r="I13" s="17" t="e">
        <f>H13/A10</f>
        <v>#DIV/0!</v>
      </c>
      <c r="J13" s="61"/>
      <c r="K13" s="59"/>
      <c r="L13" s="1"/>
      <c r="M13" s="1"/>
      <c r="N13" s="1"/>
      <c r="O13" s="1"/>
      <c r="P13" s="1"/>
      <c r="Q13" s="1"/>
      <c r="R13" s="1"/>
      <c r="S13" s="1"/>
      <c r="T13" s="1"/>
    </row>
    <row r="14" spans="1:20" ht="35.25" customHeight="1" x14ac:dyDescent="0.2">
      <c r="A14" s="20"/>
      <c r="B14" s="21"/>
      <c r="C14" s="134" t="s">
        <v>25</v>
      </c>
      <c r="D14" s="135"/>
      <c r="E14" s="136" t="s">
        <v>26</v>
      </c>
      <c r="F14" s="137"/>
      <c r="G14" s="138"/>
      <c r="H14" s="62" t="s">
        <v>27</v>
      </c>
      <c r="I14" s="63" t="s">
        <v>47</v>
      </c>
      <c r="J14" s="64">
        <f>A10-J8</f>
        <v>0</v>
      </c>
      <c r="K14" s="65" t="s">
        <v>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thickBot="1" x14ac:dyDescent="0.25">
      <c r="A15" s="22"/>
      <c r="B15" s="14"/>
      <c r="C15" s="145"/>
      <c r="D15" s="146"/>
      <c r="E15" s="66">
        <v>0</v>
      </c>
      <c r="F15" s="67" t="s">
        <v>0</v>
      </c>
      <c r="G15" s="68"/>
      <c r="H15" s="69"/>
      <c r="I15" s="70"/>
      <c r="J15" s="71" t="e">
        <f>(J14*1000/365)/$J$3</f>
        <v>#DIV/0!</v>
      </c>
      <c r="K15" s="65" t="s">
        <v>16</v>
      </c>
      <c r="L15" s="26"/>
      <c r="M15" s="1"/>
      <c r="N15" s="1"/>
      <c r="O15" s="1"/>
      <c r="P15" s="1"/>
      <c r="Q15" s="1"/>
      <c r="R15" s="1"/>
      <c r="S15" s="1"/>
      <c r="T15" s="1"/>
    </row>
    <row r="16" spans="1:20" ht="15" x14ac:dyDescent="0.2">
      <c r="A16" s="22"/>
      <c r="B16" s="14"/>
      <c r="C16" s="72"/>
      <c r="D16" s="73"/>
      <c r="E16" s="74" t="e">
        <f>E15/C10</f>
        <v>#DIV/0!</v>
      </c>
      <c r="F16" s="75" t="s">
        <v>29</v>
      </c>
      <c r="G16" s="68"/>
      <c r="H16" s="76" t="s">
        <v>30</v>
      </c>
      <c r="I16" s="77" t="s">
        <v>28</v>
      </c>
      <c r="J16" s="71" t="e">
        <f>J14*1000/(365*$D$3)</f>
        <v>#DIV/0!</v>
      </c>
      <c r="K16" s="65" t="s">
        <v>18</v>
      </c>
      <c r="L16" s="27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22"/>
      <c r="B17" s="14"/>
      <c r="C17" s="72"/>
      <c r="D17" s="73"/>
      <c r="E17" s="78" t="e">
        <f>(E15*1000/365)/$D$3</f>
        <v>#DIV/0!</v>
      </c>
      <c r="F17" s="67" t="s">
        <v>18</v>
      </c>
      <c r="G17" s="68"/>
      <c r="H17" s="79"/>
      <c r="I17" s="80"/>
      <c r="J17" s="71">
        <f>J14*1000/(365*24*3600)</f>
        <v>0</v>
      </c>
      <c r="K17" s="65" t="s">
        <v>24</v>
      </c>
      <c r="L17" s="26"/>
      <c r="M17" s="1"/>
      <c r="N17" s="1"/>
      <c r="O17" s="1"/>
      <c r="P17" s="1"/>
      <c r="Q17" s="1"/>
      <c r="R17" s="1"/>
      <c r="S17" s="1"/>
      <c r="T17" s="1"/>
    </row>
    <row r="18" spans="1:20" ht="21.75" customHeight="1" thickBot="1" x14ac:dyDescent="0.25">
      <c r="A18" s="22"/>
      <c r="B18" s="14"/>
      <c r="C18" s="72"/>
      <c r="D18" s="73"/>
      <c r="E18" s="78" t="e">
        <f>(E15*1000/365)/($J$3)</f>
        <v>#DIV/0!</v>
      </c>
      <c r="F18" s="67" t="s">
        <v>16</v>
      </c>
      <c r="G18" s="68"/>
      <c r="H18" s="69"/>
      <c r="I18" s="70"/>
      <c r="J18" s="81"/>
      <c r="K18" s="59"/>
      <c r="L18" s="26"/>
      <c r="M18" s="1"/>
      <c r="N18" s="1"/>
      <c r="O18" s="1"/>
      <c r="P18" s="1"/>
      <c r="Q18" s="1"/>
      <c r="R18" s="1"/>
      <c r="S18" s="1"/>
      <c r="T18" s="1"/>
    </row>
    <row r="19" spans="1:20" ht="15.75" x14ac:dyDescent="0.2">
      <c r="A19" s="22"/>
      <c r="B19" s="14"/>
      <c r="C19" s="72"/>
      <c r="D19" s="73"/>
      <c r="E19" s="150" t="s">
        <v>81</v>
      </c>
      <c r="F19" s="151"/>
      <c r="G19" s="82" t="e">
        <f>E15/C20</f>
        <v>#DIV/0!</v>
      </c>
      <c r="H19" s="76" t="s">
        <v>31</v>
      </c>
      <c r="I19" s="77" t="s">
        <v>28</v>
      </c>
      <c r="J19" s="71"/>
      <c r="K19" s="65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thickBot="1" x14ac:dyDescent="0.25">
      <c r="A20" s="22"/>
      <c r="B20" s="14"/>
      <c r="C20" s="83">
        <f>A10-C10</f>
        <v>0</v>
      </c>
      <c r="D20" s="84" t="s">
        <v>0</v>
      </c>
      <c r="E20" s="85"/>
      <c r="F20" s="86"/>
      <c r="G20" s="87"/>
      <c r="H20" s="69"/>
      <c r="I20" s="70"/>
      <c r="J20" s="88" t="e">
        <f>J14/A10</f>
        <v>#DIV/0!</v>
      </c>
      <c r="K20" s="89" t="s">
        <v>28</v>
      </c>
      <c r="L20" s="23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">
      <c r="A21" s="22"/>
      <c r="B21" s="14"/>
      <c r="C21" s="90"/>
      <c r="D21" s="84"/>
      <c r="E21" s="147" t="s">
        <v>32</v>
      </c>
      <c r="F21" s="148"/>
      <c r="G21" s="149"/>
      <c r="H21" s="76" t="s">
        <v>33</v>
      </c>
      <c r="I21" s="77" t="s">
        <v>34</v>
      </c>
      <c r="J21" s="88"/>
      <c r="K21" s="59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thickBot="1" x14ac:dyDescent="0.25">
      <c r="A22" s="22"/>
      <c r="B22" s="14"/>
      <c r="C22" s="90" t="e">
        <f>(C20*1000/365)/$J$3</f>
        <v>#DIV/0!</v>
      </c>
      <c r="D22" s="84" t="s">
        <v>16</v>
      </c>
      <c r="E22" s="147"/>
      <c r="F22" s="148"/>
      <c r="G22" s="149"/>
      <c r="H22" s="69"/>
      <c r="I22" s="91"/>
      <c r="J22" s="92"/>
      <c r="K22" s="59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">
      <c r="A23" s="22"/>
      <c r="B23" s="14"/>
      <c r="C23" s="83" t="e">
        <f>A12-C12</f>
        <v>#DIV/0!</v>
      </c>
      <c r="D23" s="84" t="s">
        <v>18</v>
      </c>
      <c r="E23" s="93">
        <f>A10-C10-E15</f>
        <v>0</v>
      </c>
      <c r="F23" s="67" t="s">
        <v>35</v>
      </c>
      <c r="G23" s="94"/>
      <c r="H23" s="76" t="s">
        <v>36</v>
      </c>
      <c r="I23" s="77" t="s">
        <v>34</v>
      </c>
      <c r="J23" s="92"/>
      <c r="K23" s="59"/>
      <c r="L23" s="1"/>
      <c r="M23" s="1"/>
      <c r="N23" s="1"/>
      <c r="O23" s="1"/>
      <c r="P23" s="1"/>
      <c r="Q23" s="1"/>
      <c r="R23" s="1"/>
      <c r="S23" s="1"/>
      <c r="T23" s="1"/>
    </row>
    <row r="24" spans="1:20" ht="16.5" thickBot="1" x14ac:dyDescent="0.25">
      <c r="A24" s="22"/>
      <c r="B24" s="14"/>
      <c r="C24" s="95" t="e">
        <f>C20*100/A10</f>
        <v>#DIV/0!</v>
      </c>
      <c r="D24" s="73" t="s">
        <v>28</v>
      </c>
      <c r="E24" s="96" t="e">
        <f>(E23*1000/365)*(24/$J$5)/$J$3</f>
        <v>#DIV/0!</v>
      </c>
      <c r="F24" s="67" t="s">
        <v>16</v>
      </c>
      <c r="G24" s="97" t="s">
        <v>37</v>
      </c>
      <c r="H24" s="69"/>
      <c r="I24" s="91"/>
      <c r="J24" s="92"/>
      <c r="K24" s="59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">
      <c r="A25" s="22"/>
      <c r="B25" s="14"/>
      <c r="C25" s="72"/>
      <c r="D25" s="73"/>
      <c r="E25" s="98" t="e">
        <f>E23/(365*J5)/H27</f>
        <v>#DIV/0!</v>
      </c>
      <c r="F25" s="99" t="s">
        <v>38</v>
      </c>
      <c r="G25" s="97" t="s">
        <v>37</v>
      </c>
      <c r="H25" s="76" t="s">
        <v>39</v>
      </c>
      <c r="I25" s="77" t="s">
        <v>34</v>
      </c>
      <c r="J25" s="92"/>
      <c r="K25" s="59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25">
      <c r="A26" s="24"/>
      <c r="B26" s="25"/>
      <c r="C26" s="100"/>
      <c r="D26" s="101"/>
      <c r="E26" s="102" t="e">
        <f>E23/A10</f>
        <v>#DIV/0!</v>
      </c>
      <c r="F26" s="103" t="s">
        <v>20</v>
      </c>
      <c r="G26" s="104"/>
      <c r="H26" s="105"/>
      <c r="I26" s="106"/>
      <c r="J26" s="107"/>
      <c r="K26" s="10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">
      <c r="A27" s="1"/>
      <c r="B27" s="1"/>
      <c r="C27" s="139" t="s">
        <v>40</v>
      </c>
      <c r="D27" s="139"/>
      <c r="E27" s="139"/>
      <c r="F27" s="140"/>
      <c r="G27" s="109" t="s">
        <v>41</v>
      </c>
      <c r="H27" s="110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75" customHeight="1" x14ac:dyDescent="0.35">
      <c r="A28" s="111" t="s">
        <v>82</v>
      </c>
      <c r="B28" s="47"/>
      <c r="C28" s="112"/>
      <c r="D28" s="47"/>
      <c r="E28" s="47"/>
      <c r="F28" s="47"/>
      <c r="G28" s="47"/>
      <c r="H28" s="47"/>
      <c r="I28" s="47"/>
      <c r="J28" s="47"/>
      <c r="K28" s="48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41"/>
      <c r="B29" s="141" t="s">
        <v>83</v>
      </c>
      <c r="C29" s="141"/>
      <c r="D29" s="141"/>
      <c r="E29" s="113">
        <v>30</v>
      </c>
      <c r="F29" s="114"/>
      <c r="G29" s="115"/>
      <c r="H29" s="115"/>
      <c r="I29" s="115"/>
      <c r="J29" s="115"/>
      <c r="K29" s="116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15"/>
      <c r="B30" s="141" t="s">
        <v>84</v>
      </c>
      <c r="C30" s="141"/>
      <c r="D30" s="141"/>
      <c r="E30" s="117">
        <f>(0.8*J3+25*H27)*E29*(365/1000)</f>
        <v>0</v>
      </c>
      <c r="F30" s="114"/>
      <c r="G30" s="115"/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18"/>
      <c r="B31" s="141" t="s">
        <v>85</v>
      </c>
      <c r="C31" s="141"/>
      <c r="D31" s="141"/>
      <c r="E31" s="119" t="e">
        <f>E23/E30</f>
        <v>#DIV/0!</v>
      </c>
      <c r="F31" s="114"/>
      <c r="G31" s="115"/>
      <c r="H31" s="115"/>
      <c r="I31" s="115"/>
      <c r="J31" s="115"/>
      <c r="K31" s="116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20"/>
      <c r="B32" s="121"/>
      <c r="C32" s="122"/>
      <c r="D32" s="121"/>
      <c r="E32" s="121"/>
      <c r="F32" s="121"/>
      <c r="G32" s="121"/>
      <c r="H32" s="121"/>
      <c r="I32" s="121"/>
      <c r="J32" s="121"/>
      <c r="K32" s="123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 x14ac:dyDescent="0.2">
      <c r="A33" s="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">
        <v>1</v>
      </c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9">
        <v>2</v>
      </c>
      <c r="B35" s="133" t="s">
        <v>44</v>
      </c>
      <c r="C35" s="133"/>
      <c r="D35" s="133"/>
      <c r="E35" s="133"/>
      <c r="F35" s="133"/>
      <c r="G35" s="133"/>
      <c r="H35" s="133"/>
      <c r="I35" s="133"/>
      <c r="J35" s="1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>
        <v>3</v>
      </c>
      <c r="B36" s="133" t="s">
        <v>45</v>
      </c>
      <c r="C36" s="133"/>
      <c r="D36" s="133"/>
      <c r="E36" s="133"/>
      <c r="F36" s="133"/>
      <c r="G36" s="133"/>
      <c r="H36" s="133"/>
      <c r="I36" s="133"/>
      <c r="J36" s="13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>
        <v>4</v>
      </c>
      <c r="B37" s="124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6">
    <mergeCell ref="A1:C1"/>
    <mergeCell ref="D1:F1"/>
    <mergeCell ref="A2:J2"/>
    <mergeCell ref="A3:C3"/>
    <mergeCell ref="D3:E3"/>
    <mergeCell ref="F3:I3"/>
    <mergeCell ref="E21:G22"/>
    <mergeCell ref="A5:C5"/>
    <mergeCell ref="D5:E5"/>
    <mergeCell ref="F5:I5"/>
    <mergeCell ref="A6:B9"/>
    <mergeCell ref="C6:D9"/>
    <mergeCell ref="E6:G6"/>
    <mergeCell ref="I7:I9"/>
    <mergeCell ref="E10:G10"/>
    <mergeCell ref="C14:D14"/>
    <mergeCell ref="E14:G14"/>
    <mergeCell ref="C15:D15"/>
    <mergeCell ref="E19:F19"/>
    <mergeCell ref="B36:J36"/>
    <mergeCell ref="C27:F27"/>
    <mergeCell ref="B29:D29"/>
    <mergeCell ref="B30:D30"/>
    <mergeCell ref="B31:D31"/>
    <mergeCell ref="B34:J34"/>
    <mergeCell ref="B35:J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BHresumido</vt:lpstr>
      <vt:lpstr>Sim1</vt:lpstr>
      <vt:lpstr>PMS</vt:lpstr>
      <vt:lpstr>ExBH</vt:lpstr>
      <vt:lpstr>DD</vt:lpstr>
      <vt:lpstr>EE</vt:lpstr>
      <vt:lpstr>FF</vt:lpstr>
      <vt:lpstr>GG</vt:lpstr>
    </vt:vector>
  </TitlesOfParts>
  <Company>Ykuá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Caixa de Ferramentas REAGUA</dc:title>
  <dc:subject>Controle e Redução de Perdas de Água em SAA</dc:subject>
  <dc:creator>Airton Sampaio Gomes</dc:creator>
  <dc:description>Planilhas desenvolvidas para uso pessoal. Uso autorizado para alunos do curso ministrado pelo Eng. Airton Sampaio Gomes. Uso profissional por conta e risco do usuário.</dc:description>
  <cp:lastModifiedBy>Airton Gomes</cp:lastModifiedBy>
  <dcterms:created xsi:type="dcterms:W3CDTF">2008-05-21T01:36:44Z</dcterms:created>
  <dcterms:modified xsi:type="dcterms:W3CDTF">2012-09-18T12:42:11Z</dcterms:modified>
</cp:coreProperties>
</file>